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Giada\Dropbox\Projet Médias\Statistiques\statistiques Suisse\Tableau statistique principal\Statistiques_CH_tableau_web\"/>
    </mc:Choice>
  </mc:AlternateContent>
  <xr:revisionPtr revIDLastSave="0" documentId="8_{17FCD84B-39D3-4628-8D56-177AD0278DFA}" xr6:coauthVersionLast="45" xr6:coauthVersionMax="45" xr10:uidLastSave="{00000000-0000-0000-0000-000000000000}"/>
  <bookViews>
    <workbookView xWindow="-120" yWindow="-120" windowWidth="20730" windowHeight="11760" tabRatio="662" xr2:uid="{00000000-000D-0000-FFFF-FFFF00000000}"/>
  </bookViews>
  <sheets>
    <sheet name="Mois 2007-" sheetId="1" r:id="rId1"/>
    <sheet name="Années 1996-" sheetId="2" r:id="rId2"/>
  </sheets>
  <definedNames>
    <definedName name="_xlnm.Print_Area" localSheetId="0">'Mois 2007-'!$146:$157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5" i="1" l="1"/>
  <c r="G165" i="1"/>
  <c r="S165" i="1" s="1"/>
  <c r="D165" i="1"/>
  <c r="Q165" i="1" l="1"/>
  <c r="J165" i="1"/>
  <c r="R165" i="1"/>
  <c r="O164" i="1" l="1"/>
  <c r="G164" i="1"/>
  <c r="D164" i="1"/>
  <c r="D163" i="1" l="1"/>
  <c r="N158" i="1" l="1"/>
  <c r="O158" i="1"/>
  <c r="D158" i="1"/>
  <c r="G25" i="2" l="1"/>
  <c r="Q25" i="2" s="1"/>
  <c r="N25" i="2"/>
  <c r="S25" i="2" s="1"/>
  <c r="D25" i="2"/>
  <c r="N147" i="1"/>
  <c r="O147" i="1" s="1"/>
  <c r="N148" i="1"/>
  <c r="O148" i="1" s="1"/>
  <c r="N149" i="1"/>
  <c r="O149" i="1" s="1"/>
  <c r="N150" i="1"/>
  <c r="O150" i="1"/>
  <c r="N151" i="1"/>
  <c r="O151" i="1" s="1"/>
  <c r="N152" i="1"/>
  <c r="O152" i="1" s="1"/>
  <c r="N153" i="1"/>
  <c r="O153" i="1" s="1"/>
  <c r="N154" i="1"/>
  <c r="O154" i="1"/>
  <c r="N155" i="1"/>
  <c r="O155" i="1" s="1"/>
  <c r="N156" i="1"/>
  <c r="O156" i="1" s="1"/>
  <c r="N157" i="1"/>
  <c r="O157" i="1" s="1"/>
  <c r="G147" i="1"/>
  <c r="G148" i="1"/>
  <c r="J148" i="1" s="1"/>
  <c r="G156" i="1"/>
  <c r="G157" i="1"/>
  <c r="D147" i="1"/>
  <c r="D148" i="1"/>
  <c r="D149" i="1"/>
  <c r="D150" i="1"/>
  <c r="D151" i="1"/>
  <c r="D152" i="1"/>
  <c r="D153" i="1"/>
  <c r="D154" i="1"/>
  <c r="D155" i="1"/>
  <c r="D156" i="1"/>
  <c r="D157" i="1"/>
  <c r="J147" i="1"/>
  <c r="D24" i="2"/>
  <c r="G24" i="2"/>
  <c r="J24" i="2" s="1"/>
  <c r="N24" i="2"/>
  <c r="J145" i="1"/>
  <c r="G144" i="1"/>
  <c r="J144" i="1"/>
  <c r="N145" i="1"/>
  <c r="S145" i="1" s="1"/>
  <c r="N144" i="1"/>
  <c r="S144" i="1" s="1"/>
  <c r="D145" i="1"/>
  <c r="N143" i="1"/>
  <c r="O143" i="1" s="1"/>
  <c r="S143" i="1"/>
  <c r="J143" i="1"/>
  <c r="D144" i="1"/>
  <c r="Q143" i="1"/>
  <c r="D143" i="1"/>
  <c r="N142" i="1"/>
  <c r="R142" i="1" s="1"/>
  <c r="O142" i="1"/>
  <c r="Q142" i="1"/>
  <c r="J142" i="1"/>
  <c r="D142" i="1"/>
  <c r="N141" i="1"/>
  <c r="R141" i="1" s="1"/>
  <c r="S141" i="1"/>
  <c r="N140" i="1"/>
  <c r="R140" i="1" s="1"/>
  <c r="G140" i="1"/>
  <c r="Q140" i="1" s="1"/>
  <c r="Q141" i="1"/>
  <c r="J141" i="1"/>
  <c r="O141" i="1"/>
  <c r="D141" i="1"/>
  <c r="O140" i="1"/>
  <c r="D140" i="1"/>
  <c r="N139" i="1"/>
  <c r="G139" i="1"/>
  <c r="R139" i="1"/>
  <c r="O139" i="1"/>
  <c r="S139" i="1"/>
  <c r="Q139" i="1"/>
  <c r="J139" i="1"/>
  <c r="D139" i="1"/>
  <c r="N138" i="1"/>
  <c r="G138" i="1"/>
  <c r="R138" i="1"/>
  <c r="O138" i="1"/>
  <c r="S138" i="1"/>
  <c r="Q138" i="1"/>
  <c r="J138" i="1"/>
  <c r="D138" i="1"/>
  <c r="G137" i="1"/>
  <c r="N137" i="1"/>
  <c r="Q137" i="1"/>
  <c r="D137" i="1"/>
  <c r="N136" i="1"/>
  <c r="G136" i="1"/>
  <c r="Q136" i="1" s="1"/>
  <c r="D136" i="1"/>
  <c r="N135" i="1"/>
  <c r="G135" i="1"/>
  <c r="J135" i="1" s="1"/>
  <c r="R135" i="1"/>
  <c r="D135" i="1"/>
  <c r="N134" i="1"/>
  <c r="O134" i="1" s="1"/>
  <c r="G134" i="1"/>
  <c r="Q134" i="1" s="1"/>
  <c r="D134" i="1"/>
  <c r="B177" i="1"/>
  <c r="N23" i="2"/>
  <c r="R23" i="2" s="1"/>
  <c r="G23" i="2"/>
  <c r="Q23" i="2"/>
  <c r="D23" i="2"/>
  <c r="N133" i="1"/>
  <c r="R133" i="1" s="1"/>
  <c r="G133" i="1"/>
  <c r="Q133" i="1"/>
  <c r="D133" i="1"/>
  <c r="N132" i="1"/>
  <c r="G132" i="1"/>
  <c r="Q132" i="1" s="1"/>
  <c r="D132" i="1"/>
  <c r="N131" i="1"/>
  <c r="G131" i="1"/>
  <c r="J131" i="1"/>
  <c r="D131" i="1"/>
  <c r="N130" i="1"/>
  <c r="G130" i="1"/>
  <c r="J130" i="1" s="1"/>
  <c r="Q130" i="1"/>
  <c r="D130" i="1"/>
  <c r="N129" i="1"/>
  <c r="G129" i="1"/>
  <c r="J129" i="1"/>
  <c r="D129" i="1"/>
  <c r="G127" i="1"/>
  <c r="J127" i="1" s="1"/>
  <c r="G128" i="1"/>
  <c r="Q128" i="1" s="1"/>
  <c r="N128" i="1"/>
  <c r="S128" i="1"/>
  <c r="D128" i="1"/>
  <c r="N127" i="1"/>
  <c r="O127" i="1" s="1"/>
  <c r="Q127" i="1"/>
  <c r="D127" i="1"/>
  <c r="N126" i="1"/>
  <c r="O126" i="1" s="1"/>
  <c r="G126" i="1"/>
  <c r="R126" i="1" s="1"/>
  <c r="S126" i="1"/>
  <c r="J126" i="1"/>
  <c r="D126" i="1"/>
  <c r="N125" i="1"/>
  <c r="O125" i="1" s="1"/>
  <c r="G125" i="1"/>
  <c r="R125" i="1" s="1"/>
  <c r="S125" i="1"/>
  <c r="J125" i="1"/>
  <c r="D125" i="1"/>
  <c r="N124" i="1"/>
  <c r="O124" i="1" s="1"/>
  <c r="G124" i="1"/>
  <c r="R124" i="1" s="1"/>
  <c r="S124" i="1"/>
  <c r="J124" i="1"/>
  <c r="D124" i="1"/>
  <c r="N123" i="1"/>
  <c r="O123" i="1" s="1"/>
  <c r="G123" i="1"/>
  <c r="R123" i="1" s="1"/>
  <c r="S123" i="1"/>
  <c r="J123" i="1"/>
  <c r="N122" i="1"/>
  <c r="O122" i="1" s="1"/>
  <c r="G122" i="1"/>
  <c r="J122" i="1" s="1"/>
  <c r="S122" i="1"/>
  <c r="R122" i="1"/>
  <c r="Q122" i="1"/>
  <c r="G116" i="1"/>
  <c r="G117" i="1"/>
  <c r="G118" i="1"/>
  <c r="G119" i="1"/>
  <c r="G120" i="1"/>
  <c r="Q120" i="1" s="1"/>
  <c r="D122" i="1"/>
  <c r="N121" i="1"/>
  <c r="O121" i="1"/>
  <c r="N105" i="1"/>
  <c r="N106" i="1"/>
  <c r="N107" i="1"/>
  <c r="N108" i="1"/>
  <c r="O108" i="1" s="1"/>
  <c r="N109" i="1"/>
  <c r="O109" i="1" s="1"/>
  <c r="N110" i="1"/>
  <c r="O110" i="1" s="1"/>
  <c r="G110" i="1"/>
  <c r="N111" i="1"/>
  <c r="O111" i="1" s="1"/>
  <c r="N112" i="1"/>
  <c r="N113" i="1"/>
  <c r="N114" i="1"/>
  <c r="O114" i="1" s="1"/>
  <c r="N115" i="1"/>
  <c r="O115" i="1"/>
  <c r="S115" i="1" s="1"/>
  <c r="G115" i="1"/>
  <c r="Q115" i="1" s="1"/>
  <c r="N116" i="1"/>
  <c r="N117" i="1"/>
  <c r="N118" i="1"/>
  <c r="O118" i="1" s="1"/>
  <c r="N119" i="1"/>
  <c r="O119" i="1"/>
  <c r="S119" i="1" s="1"/>
  <c r="N120" i="1"/>
  <c r="G121" i="1"/>
  <c r="J121" i="1" s="1"/>
  <c r="Q121" i="1"/>
  <c r="D121" i="1"/>
  <c r="N19" i="2"/>
  <c r="O19" i="2"/>
  <c r="G19" i="2"/>
  <c r="R19" i="2" s="1"/>
  <c r="N20" i="2"/>
  <c r="O20" i="2" s="1"/>
  <c r="G20" i="2"/>
  <c r="Q20" i="2"/>
  <c r="N21" i="2"/>
  <c r="G21" i="2"/>
  <c r="N22" i="2"/>
  <c r="O22" i="2"/>
  <c r="G22" i="2"/>
  <c r="Q22" i="2" s="1"/>
  <c r="D22" i="2"/>
  <c r="D120" i="1"/>
  <c r="O120" i="1"/>
  <c r="N2" i="1"/>
  <c r="O2" i="1" s="1"/>
  <c r="G2" i="1"/>
  <c r="Q2" i="1"/>
  <c r="N3" i="1"/>
  <c r="O3" i="1" s="1"/>
  <c r="G3" i="1"/>
  <c r="N4" i="1"/>
  <c r="O4" i="1" s="1"/>
  <c r="G4" i="1"/>
  <c r="J4" i="1"/>
  <c r="N5" i="1"/>
  <c r="O5" i="1"/>
  <c r="G5" i="1"/>
  <c r="Q5" i="1" s="1"/>
  <c r="N6" i="1"/>
  <c r="O6" i="1"/>
  <c r="G6" i="1"/>
  <c r="R6" i="1" s="1"/>
  <c r="N7" i="1"/>
  <c r="O7" i="1"/>
  <c r="R7" i="1" s="1"/>
  <c r="G7" i="1"/>
  <c r="Q7" i="1" s="1"/>
  <c r="N8" i="1"/>
  <c r="O8" i="1"/>
  <c r="G8" i="1"/>
  <c r="S8" i="1" s="1"/>
  <c r="N9" i="1"/>
  <c r="O9" i="1"/>
  <c r="G9" i="1"/>
  <c r="Q9" i="1" s="1"/>
  <c r="N10" i="1"/>
  <c r="O10" i="1" s="1"/>
  <c r="G10" i="1"/>
  <c r="J10" i="1"/>
  <c r="N11" i="1"/>
  <c r="O11" i="1"/>
  <c r="S11" i="1" s="1"/>
  <c r="G11" i="1"/>
  <c r="J11" i="1" s="1"/>
  <c r="N12" i="1"/>
  <c r="O12" i="1"/>
  <c r="R12" i="1" s="1"/>
  <c r="G12" i="1"/>
  <c r="Q12" i="1"/>
  <c r="N13" i="1"/>
  <c r="O13" i="1" s="1"/>
  <c r="G13" i="1"/>
  <c r="L14" i="1"/>
  <c r="N14" i="1" s="1"/>
  <c r="O14" i="1" s="1"/>
  <c r="G14" i="1"/>
  <c r="Q14" i="1"/>
  <c r="L15" i="1"/>
  <c r="N15" i="1" s="1"/>
  <c r="O15" i="1" s="1"/>
  <c r="G15" i="1"/>
  <c r="L16" i="1"/>
  <c r="N16" i="1" s="1"/>
  <c r="O16" i="1" s="1"/>
  <c r="G16" i="1"/>
  <c r="Q16" i="1" s="1"/>
  <c r="L17" i="1"/>
  <c r="N17" i="1" s="1"/>
  <c r="O17" i="1" s="1"/>
  <c r="G17" i="1"/>
  <c r="L18" i="1"/>
  <c r="N18" i="1" s="1"/>
  <c r="O18" i="1" s="1"/>
  <c r="G18" i="1"/>
  <c r="J18" i="1" s="1"/>
  <c r="L19" i="1"/>
  <c r="N19" i="1"/>
  <c r="O19" i="1"/>
  <c r="R19" i="1" s="1"/>
  <c r="G19" i="1"/>
  <c r="L20" i="1"/>
  <c r="N20" i="1"/>
  <c r="O20" i="1" s="1"/>
  <c r="G20" i="1"/>
  <c r="L21" i="1"/>
  <c r="N21" i="1"/>
  <c r="O21" i="1" s="1"/>
  <c r="G21" i="1"/>
  <c r="L22" i="1"/>
  <c r="N22" i="1" s="1"/>
  <c r="O22" i="1" s="1"/>
  <c r="G22" i="1"/>
  <c r="Q22" i="1"/>
  <c r="L23" i="1"/>
  <c r="N23" i="1" s="1"/>
  <c r="O23" i="1" s="1"/>
  <c r="G23" i="1"/>
  <c r="Q23" i="1" s="1"/>
  <c r="L24" i="1"/>
  <c r="N24" i="1"/>
  <c r="O24" i="1"/>
  <c r="G24" i="1"/>
  <c r="L25" i="1"/>
  <c r="N25" i="1"/>
  <c r="O25" i="1"/>
  <c r="S25" i="1" s="1"/>
  <c r="G25" i="1"/>
  <c r="N26" i="1"/>
  <c r="O26" i="1"/>
  <c r="R26" i="1" s="1"/>
  <c r="G26" i="1"/>
  <c r="L27" i="1"/>
  <c r="N27" i="1"/>
  <c r="O27" i="1"/>
  <c r="R27" i="1" s="1"/>
  <c r="G27" i="1"/>
  <c r="Q27" i="1"/>
  <c r="L28" i="1"/>
  <c r="N28" i="1" s="1"/>
  <c r="O28" i="1" s="1"/>
  <c r="G28" i="1"/>
  <c r="J28" i="1" s="1"/>
  <c r="L29" i="1"/>
  <c r="N29" i="1"/>
  <c r="O29" i="1"/>
  <c r="G29" i="1"/>
  <c r="L30" i="1"/>
  <c r="N30" i="1"/>
  <c r="O30" i="1"/>
  <c r="S30" i="1" s="1"/>
  <c r="G30" i="1"/>
  <c r="Q30" i="1"/>
  <c r="L31" i="1"/>
  <c r="N31" i="1" s="1"/>
  <c r="O31" i="1" s="1"/>
  <c r="G31" i="1"/>
  <c r="L32" i="1"/>
  <c r="N32" i="1"/>
  <c r="O32" i="1"/>
  <c r="R32" i="1" s="1"/>
  <c r="G32" i="1"/>
  <c r="L33" i="1"/>
  <c r="N33" i="1"/>
  <c r="O33" i="1" s="1"/>
  <c r="G33" i="1"/>
  <c r="L34" i="1"/>
  <c r="N34" i="1" s="1"/>
  <c r="O34" i="1" s="1"/>
  <c r="G34" i="1"/>
  <c r="Q34" i="1"/>
  <c r="L35" i="1"/>
  <c r="N35" i="1" s="1"/>
  <c r="O35" i="1" s="1"/>
  <c r="G35" i="1"/>
  <c r="J35" i="1" s="1"/>
  <c r="L36" i="1"/>
  <c r="N36" i="1"/>
  <c r="O36" i="1" s="1"/>
  <c r="G36" i="1"/>
  <c r="J36" i="1"/>
  <c r="L37" i="1"/>
  <c r="N37" i="1" s="1"/>
  <c r="O37" i="1" s="1"/>
  <c r="G37" i="1"/>
  <c r="Q37" i="1" s="1"/>
  <c r="L38" i="1"/>
  <c r="N38" i="1"/>
  <c r="O38" i="1"/>
  <c r="R38" i="1" s="1"/>
  <c r="G38" i="1"/>
  <c r="L39" i="1"/>
  <c r="N39" i="1"/>
  <c r="O39" i="1" s="1"/>
  <c r="G39" i="1"/>
  <c r="L40" i="1"/>
  <c r="N40" i="1" s="1"/>
  <c r="O40" i="1" s="1"/>
  <c r="G40" i="1"/>
  <c r="Q40" i="1"/>
  <c r="L41" i="1"/>
  <c r="N41" i="1" s="1"/>
  <c r="O41" i="1" s="1"/>
  <c r="G41" i="1"/>
  <c r="L42" i="1"/>
  <c r="N42" i="1" s="1"/>
  <c r="O42" i="1" s="1"/>
  <c r="G42" i="1"/>
  <c r="Q42" i="1" s="1"/>
  <c r="L43" i="1"/>
  <c r="N43" i="1"/>
  <c r="O43" i="1" s="1"/>
  <c r="G43" i="1"/>
  <c r="J43" i="1"/>
  <c r="L44" i="1"/>
  <c r="N44" i="1" s="1"/>
  <c r="O44" i="1" s="1"/>
  <c r="G44" i="1"/>
  <c r="L45" i="1"/>
  <c r="N45" i="1"/>
  <c r="O45" i="1"/>
  <c r="R45" i="1" s="1"/>
  <c r="G45" i="1"/>
  <c r="L46" i="1"/>
  <c r="N46" i="1"/>
  <c r="O46" i="1"/>
  <c r="G46" i="1"/>
  <c r="J46" i="1" s="1"/>
  <c r="L47" i="1"/>
  <c r="N47" i="1"/>
  <c r="O47" i="1" s="1"/>
  <c r="G47" i="1"/>
  <c r="L48" i="1"/>
  <c r="N48" i="1" s="1"/>
  <c r="O48" i="1" s="1"/>
  <c r="G48" i="1"/>
  <c r="Q48" i="1" s="1"/>
  <c r="L49" i="1"/>
  <c r="N49" i="1"/>
  <c r="O49" i="1" s="1"/>
  <c r="G49" i="1"/>
  <c r="Q49" i="1"/>
  <c r="L50" i="1"/>
  <c r="N50" i="1"/>
  <c r="O50" i="1" s="1"/>
  <c r="G50" i="1"/>
  <c r="L51" i="1"/>
  <c r="N51" i="1" s="1"/>
  <c r="O51" i="1" s="1"/>
  <c r="G51" i="1"/>
  <c r="J51" i="1" s="1"/>
  <c r="L52" i="1"/>
  <c r="N52" i="1" s="1"/>
  <c r="O52" i="1" s="1"/>
  <c r="G52" i="1"/>
  <c r="L53" i="1"/>
  <c r="N53" i="1"/>
  <c r="O53" i="1"/>
  <c r="R53" i="1" s="1"/>
  <c r="G53" i="1"/>
  <c r="L54" i="1"/>
  <c r="N54" i="1" s="1"/>
  <c r="O54" i="1" s="1"/>
  <c r="G54" i="1"/>
  <c r="J54" i="1"/>
  <c r="L55" i="1"/>
  <c r="N55" i="1" s="1"/>
  <c r="O55" i="1" s="1"/>
  <c r="G55" i="1"/>
  <c r="L56" i="1"/>
  <c r="N56" i="1" s="1"/>
  <c r="O56" i="1" s="1"/>
  <c r="G56" i="1"/>
  <c r="L57" i="1"/>
  <c r="N57" i="1"/>
  <c r="O57" i="1" s="1"/>
  <c r="G57" i="1"/>
  <c r="Q57" i="1" s="1"/>
  <c r="L58" i="1"/>
  <c r="N58" i="1"/>
  <c r="O58" i="1"/>
  <c r="S58" i="1" s="1"/>
  <c r="G58" i="1"/>
  <c r="Q58" i="1"/>
  <c r="L59" i="1"/>
  <c r="N59" i="1"/>
  <c r="O59" i="1" s="1"/>
  <c r="G59" i="1"/>
  <c r="J59" i="1"/>
  <c r="L60" i="1"/>
  <c r="N60" i="1"/>
  <c r="O60" i="1" s="1"/>
  <c r="G60" i="1"/>
  <c r="L61" i="1"/>
  <c r="N61" i="1" s="1"/>
  <c r="O61" i="1" s="1"/>
  <c r="G61" i="1"/>
  <c r="L62" i="1"/>
  <c r="N62" i="1"/>
  <c r="O62" i="1" s="1"/>
  <c r="G62" i="1"/>
  <c r="Q62" i="1" s="1"/>
  <c r="L63" i="1"/>
  <c r="N63" i="1"/>
  <c r="O63" i="1" s="1"/>
  <c r="G63" i="1"/>
  <c r="L64" i="1"/>
  <c r="N64" i="1"/>
  <c r="O64" i="1" s="1"/>
  <c r="G64" i="1"/>
  <c r="L65" i="1"/>
  <c r="N65" i="1" s="1"/>
  <c r="O65" i="1" s="1"/>
  <c r="G65" i="1"/>
  <c r="Q65" i="1"/>
  <c r="L66" i="1"/>
  <c r="N66" i="1" s="1"/>
  <c r="O66" i="1" s="1"/>
  <c r="G66" i="1"/>
  <c r="Q66" i="1" s="1"/>
  <c r="L67" i="1"/>
  <c r="N67" i="1"/>
  <c r="O67" i="1" s="1"/>
  <c r="G67" i="1"/>
  <c r="J67" i="1" s="1"/>
  <c r="L68" i="1"/>
  <c r="N68" i="1"/>
  <c r="O68" i="1" s="1"/>
  <c r="G68" i="1"/>
  <c r="Q68" i="1" s="1"/>
  <c r="L69" i="1"/>
  <c r="N69" i="1"/>
  <c r="O69" i="1" s="1"/>
  <c r="G69" i="1"/>
  <c r="L70" i="1"/>
  <c r="N70" i="1" s="1"/>
  <c r="O70" i="1" s="1"/>
  <c r="G70" i="1"/>
  <c r="Q70" i="1" s="1"/>
  <c r="L71" i="1"/>
  <c r="N71" i="1"/>
  <c r="O71" i="1"/>
  <c r="R71" i="1" s="1"/>
  <c r="G71" i="1"/>
  <c r="L72" i="1"/>
  <c r="N72" i="1" s="1"/>
  <c r="O72" i="1" s="1"/>
  <c r="G72" i="1"/>
  <c r="L73" i="1"/>
  <c r="N73" i="1"/>
  <c r="O73" i="1"/>
  <c r="R73" i="1" s="1"/>
  <c r="G73" i="1"/>
  <c r="Q73" i="1" s="1"/>
  <c r="L74" i="1"/>
  <c r="N74" i="1" s="1"/>
  <c r="O74" i="1" s="1"/>
  <c r="G74" i="1"/>
  <c r="Q74" i="1" s="1"/>
  <c r="L75" i="1"/>
  <c r="N75" i="1" s="1"/>
  <c r="O75" i="1" s="1"/>
  <c r="G75" i="1"/>
  <c r="J75" i="1" s="1"/>
  <c r="L76" i="1"/>
  <c r="N76" i="1"/>
  <c r="O76" i="1" s="1"/>
  <c r="G76" i="1"/>
  <c r="Q76" i="1" s="1"/>
  <c r="L77" i="1"/>
  <c r="N77" i="1"/>
  <c r="O77" i="1" s="1"/>
  <c r="G77" i="1"/>
  <c r="L78" i="1"/>
  <c r="N78" i="1" s="1"/>
  <c r="O78" i="1" s="1"/>
  <c r="G78" i="1"/>
  <c r="Q78" i="1" s="1"/>
  <c r="L79" i="1"/>
  <c r="N79" i="1"/>
  <c r="O79" i="1"/>
  <c r="R79" i="1" s="1"/>
  <c r="G79" i="1"/>
  <c r="L80" i="1"/>
  <c r="N80" i="1" s="1"/>
  <c r="O80" i="1" s="1"/>
  <c r="G80" i="1"/>
  <c r="L81" i="1"/>
  <c r="N81" i="1"/>
  <c r="O81" i="1"/>
  <c r="S81" i="1" s="1"/>
  <c r="G81" i="1"/>
  <c r="Q81" i="1"/>
  <c r="L82" i="1"/>
  <c r="N82" i="1"/>
  <c r="O82" i="1" s="1"/>
  <c r="G82" i="1"/>
  <c r="L83" i="1"/>
  <c r="N83" i="1" s="1"/>
  <c r="O83" i="1" s="1"/>
  <c r="G83" i="1"/>
  <c r="Q83" i="1"/>
  <c r="L84" i="1"/>
  <c r="N84" i="1"/>
  <c r="O84" i="1"/>
  <c r="S84" i="1" s="1"/>
  <c r="G84" i="1"/>
  <c r="Q84" i="1"/>
  <c r="L85" i="1"/>
  <c r="N85" i="1"/>
  <c r="O85" i="1" s="1"/>
  <c r="G85" i="1"/>
  <c r="Q85" i="1"/>
  <c r="L86" i="1"/>
  <c r="N86" i="1"/>
  <c r="O86" i="1" s="1"/>
  <c r="G86" i="1"/>
  <c r="J86" i="1" s="1"/>
  <c r="L87" i="1"/>
  <c r="N87" i="1"/>
  <c r="O87" i="1" s="1"/>
  <c r="G87" i="1"/>
  <c r="Q87" i="1" s="1"/>
  <c r="L88" i="1"/>
  <c r="N88" i="1"/>
  <c r="O88" i="1" s="1"/>
  <c r="G88" i="1"/>
  <c r="L89" i="1"/>
  <c r="N89" i="1"/>
  <c r="O89" i="1" s="1"/>
  <c r="G89" i="1"/>
  <c r="Q89" i="1" s="1"/>
  <c r="L90" i="1"/>
  <c r="N90" i="1" s="1"/>
  <c r="O90" i="1" s="1"/>
  <c r="G90" i="1"/>
  <c r="J90" i="1"/>
  <c r="L91" i="1"/>
  <c r="N91" i="1"/>
  <c r="O91" i="1" s="1"/>
  <c r="G91" i="1"/>
  <c r="Q91" i="1" s="1"/>
  <c r="L92" i="1"/>
  <c r="N92" i="1"/>
  <c r="O92" i="1" s="1"/>
  <c r="G92" i="1"/>
  <c r="Q92" i="1" s="1"/>
  <c r="L93" i="1"/>
  <c r="N93" i="1" s="1"/>
  <c r="O93" i="1" s="1"/>
  <c r="G93" i="1"/>
  <c r="J93" i="1"/>
  <c r="L94" i="1"/>
  <c r="N94" i="1" s="1"/>
  <c r="O94" i="1" s="1"/>
  <c r="G94" i="1"/>
  <c r="Q94" i="1" s="1"/>
  <c r="L95" i="1"/>
  <c r="N95" i="1" s="1"/>
  <c r="O95" i="1" s="1"/>
  <c r="G95" i="1"/>
  <c r="L96" i="1"/>
  <c r="N96" i="1" s="1"/>
  <c r="O96" i="1" s="1"/>
  <c r="G96" i="1"/>
  <c r="Q96" i="1"/>
  <c r="N97" i="1"/>
  <c r="O97" i="1"/>
  <c r="R97" i="1" s="1"/>
  <c r="G97" i="1"/>
  <c r="N98" i="1"/>
  <c r="O98" i="1" s="1"/>
  <c r="G98" i="1"/>
  <c r="N99" i="1"/>
  <c r="O99" i="1"/>
  <c r="G99" i="1"/>
  <c r="Q99" i="1"/>
  <c r="N100" i="1"/>
  <c r="O100" i="1" s="1"/>
  <c r="G100" i="1"/>
  <c r="Q100" i="1"/>
  <c r="J100" i="1"/>
  <c r="N101" i="1"/>
  <c r="O101" i="1"/>
  <c r="G101" i="1"/>
  <c r="Q101" i="1" s="1"/>
  <c r="N102" i="1"/>
  <c r="O102" i="1"/>
  <c r="G102" i="1"/>
  <c r="R102" i="1" s="1"/>
  <c r="N103" i="1"/>
  <c r="O103" i="1" s="1"/>
  <c r="G103" i="1"/>
  <c r="N104" i="1"/>
  <c r="O104" i="1"/>
  <c r="G104" i="1"/>
  <c r="R104" i="1" s="1"/>
  <c r="O105" i="1"/>
  <c r="G105" i="1"/>
  <c r="O106" i="1"/>
  <c r="G106" i="1"/>
  <c r="J106" i="1" s="1"/>
  <c r="O107" i="1"/>
  <c r="G107" i="1"/>
  <c r="Q107" i="1" s="1"/>
  <c r="G108" i="1"/>
  <c r="Q108" i="1"/>
  <c r="G109" i="1"/>
  <c r="J109" i="1"/>
  <c r="J110" i="1"/>
  <c r="G111" i="1"/>
  <c r="Q111" i="1"/>
  <c r="J111" i="1"/>
  <c r="O112" i="1"/>
  <c r="R112" i="1" s="1"/>
  <c r="G112" i="1"/>
  <c r="Q112" i="1" s="1"/>
  <c r="O113" i="1"/>
  <c r="R113" i="1" s="1"/>
  <c r="G113" i="1"/>
  <c r="G114" i="1"/>
  <c r="J114" i="1" s="1"/>
  <c r="O116" i="1"/>
  <c r="R116" i="1"/>
  <c r="O117" i="1"/>
  <c r="Q110" i="1"/>
  <c r="Q113" i="1"/>
  <c r="Q117" i="1"/>
  <c r="Q118" i="1"/>
  <c r="Q119" i="1"/>
  <c r="Q95" i="1"/>
  <c r="Q98" i="1"/>
  <c r="Q103" i="1"/>
  <c r="Q105" i="1"/>
  <c r="Q79" i="1"/>
  <c r="Q80" i="1"/>
  <c r="Q88" i="1"/>
  <c r="Q90" i="1"/>
  <c r="Q69" i="1"/>
  <c r="Q71" i="1"/>
  <c r="Q72" i="1"/>
  <c r="Q77" i="1"/>
  <c r="Q55" i="1"/>
  <c r="Q56" i="1"/>
  <c r="Q60" i="1"/>
  <c r="Q61" i="1"/>
  <c r="Q63" i="1"/>
  <c r="Q64" i="1"/>
  <c r="Q45" i="1"/>
  <c r="Q47" i="1"/>
  <c r="Q50" i="1"/>
  <c r="Q52" i="1"/>
  <c r="Q53" i="1"/>
  <c r="Q54" i="1"/>
  <c r="Q29" i="1"/>
  <c r="Q31" i="1"/>
  <c r="Q36" i="1"/>
  <c r="Q39" i="1"/>
  <c r="Q17" i="1"/>
  <c r="Q19" i="1"/>
  <c r="Q20" i="1"/>
  <c r="Q21" i="1"/>
  <c r="Q24" i="1"/>
  <c r="Q26" i="1"/>
  <c r="Q10" i="1"/>
  <c r="Q15" i="1"/>
  <c r="Q3" i="1"/>
  <c r="Q4" i="1"/>
  <c r="J108" i="1"/>
  <c r="J112" i="1"/>
  <c r="J113" i="1"/>
  <c r="J117" i="1"/>
  <c r="J118" i="1"/>
  <c r="J119" i="1"/>
  <c r="J95" i="1"/>
  <c r="J96" i="1"/>
  <c r="J98" i="1"/>
  <c r="J99" i="1"/>
  <c r="J101" i="1"/>
  <c r="J102" i="1"/>
  <c r="J103" i="1"/>
  <c r="J105" i="1"/>
  <c r="J84" i="1"/>
  <c r="J85" i="1"/>
  <c r="J88" i="1"/>
  <c r="J69" i="1"/>
  <c r="J71" i="1"/>
  <c r="J72" i="1"/>
  <c r="J76" i="1"/>
  <c r="J77" i="1"/>
  <c r="J79" i="1"/>
  <c r="J80" i="1"/>
  <c r="J58" i="1"/>
  <c r="J60" i="1"/>
  <c r="J61" i="1"/>
  <c r="J63" i="1"/>
  <c r="J64" i="1"/>
  <c r="J68" i="1"/>
  <c r="J45" i="1"/>
  <c r="J47" i="1"/>
  <c r="J50" i="1"/>
  <c r="J52" i="1"/>
  <c r="J53" i="1"/>
  <c r="J55" i="1"/>
  <c r="J56" i="1"/>
  <c r="J29" i="1"/>
  <c r="J31" i="1"/>
  <c r="J34" i="1"/>
  <c r="J39" i="1"/>
  <c r="J40" i="1"/>
  <c r="J15" i="1"/>
  <c r="J17" i="1"/>
  <c r="J19" i="1"/>
  <c r="J20" i="1"/>
  <c r="J21" i="1"/>
  <c r="J24" i="1"/>
  <c r="J26" i="1"/>
  <c r="J3" i="1"/>
  <c r="J2" i="1"/>
  <c r="D118" i="1"/>
  <c r="D11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S26" i="1"/>
  <c r="S32" i="1"/>
  <c r="S11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21" i="2"/>
  <c r="N3" i="2"/>
  <c r="G3" i="2"/>
  <c r="J3" i="2" s="1"/>
  <c r="N4" i="2"/>
  <c r="O4" i="2" s="1"/>
  <c r="G4" i="2"/>
  <c r="Q4" i="2"/>
  <c r="N5" i="2"/>
  <c r="G5" i="2"/>
  <c r="R5" i="2"/>
  <c r="N6" i="2"/>
  <c r="S6" i="2" s="1"/>
  <c r="G6" i="2"/>
  <c r="R6" i="2" s="1"/>
  <c r="N7" i="2"/>
  <c r="S7" i="2" s="1"/>
  <c r="G7" i="2"/>
  <c r="Q7" i="2"/>
  <c r="N8" i="2"/>
  <c r="R8" i="2" s="1"/>
  <c r="G8" i="2"/>
  <c r="Q8" i="2" s="1"/>
  <c r="N9" i="2"/>
  <c r="O9" i="2" s="1"/>
  <c r="G9" i="2"/>
  <c r="J9" i="2"/>
  <c r="S9" i="2"/>
  <c r="N10" i="2"/>
  <c r="S10" i="2" s="1"/>
  <c r="G10" i="2"/>
  <c r="Q10" i="2" s="1"/>
  <c r="N11" i="2"/>
  <c r="S11" i="2" s="1"/>
  <c r="G11" i="2"/>
  <c r="Q11" i="2"/>
  <c r="N12" i="2"/>
  <c r="S12" i="2" s="1"/>
  <c r="G12" i="2"/>
  <c r="Q12" i="2"/>
  <c r="N13" i="2"/>
  <c r="G13" i="2"/>
  <c r="R13" i="2"/>
  <c r="N14" i="2"/>
  <c r="R14" i="2" s="1"/>
  <c r="G14" i="2"/>
  <c r="Q14" i="2" s="1"/>
  <c r="N15" i="2"/>
  <c r="R15" i="2" s="1"/>
  <c r="G15" i="2"/>
  <c r="S15" i="2"/>
  <c r="Q15" i="2"/>
  <c r="N16" i="2"/>
  <c r="O16" i="2" s="1"/>
  <c r="G16" i="2"/>
  <c r="J16" i="2"/>
  <c r="N17" i="2"/>
  <c r="S17" i="2" s="1"/>
  <c r="G17" i="2"/>
  <c r="J17" i="2"/>
  <c r="N18" i="2"/>
  <c r="R18" i="2" s="1"/>
  <c r="G18" i="2"/>
  <c r="J18" i="2"/>
  <c r="N2" i="2"/>
  <c r="G2" i="2"/>
  <c r="S2" i="2" s="1"/>
  <c r="R4" i="2"/>
  <c r="R11" i="2"/>
  <c r="Q5" i="2"/>
  <c r="Q9" i="2"/>
  <c r="Q17" i="2"/>
  <c r="Q18" i="2"/>
  <c r="O8" i="2"/>
  <c r="O10" i="2"/>
  <c r="O14" i="2"/>
  <c r="O2" i="2"/>
  <c r="J5" i="2"/>
  <c r="J7" i="2"/>
  <c r="J11" i="2"/>
  <c r="J13" i="2"/>
  <c r="J15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3" i="1"/>
  <c r="D2" i="1"/>
  <c r="R29" i="1"/>
  <c r="S29" i="1"/>
  <c r="S101" i="1"/>
  <c r="R101" i="1"/>
  <c r="S99" i="1"/>
  <c r="R99" i="1"/>
  <c r="R58" i="1"/>
  <c r="R119" i="1"/>
  <c r="J12" i="2"/>
  <c r="S46" i="1"/>
  <c r="S38" i="1"/>
  <c r="J91" i="1"/>
  <c r="J83" i="1"/>
  <c r="J94" i="1"/>
  <c r="Q43" i="1"/>
  <c r="Q35" i="1"/>
  <c r="Q59" i="1"/>
  <c r="Q67" i="1"/>
  <c r="Q86" i="1"/>
  <c r="Q109" i="1"/>
  <c r="O7" i="2"/>
  <c r="J4" i="2"/>
  <c r="O13" i="2"/>
  <c r="O5" i="2"/>
  <c r="R17" i="2"/>
  <c r="R9" i="2"/>
  <c r="J14" i="1"/>
  <c r="J65" i="1"/>
  <c r="J57" i="1"/>
  <c r="J73" i="1"/>
  <c r="J22" i="2"/>
  <c r="O12" i="2"/>
  <c r="S5" i="2"/>
  <c r="S12" i="1"/>
  <c r="J22" i="1"/>
  <c r="J89" i="1"/>
  <c r="J81" i="1"/>
  <c r="R20" i="2"/>
  <c r="O128" i="1"/>
  <c r="J137" i="1"/>
  <c r="J140" i="1"/>
  <c r="S27" i="1"/>
  <c r="S19" i="1"/>
  <c r="J12" i="1"/>
  <c r="S121" i="1"/>
  <c r="R7" i="2"/>
  <c r="J62" i="1"/>
  <c r="J78" i="1"/>
  <c r="J70" i="1"/>
  <c r="R128" i="1"/>
  <c r="J132" i="1"/>
  <c r="J133" i="1"/>
  <c r="J23" i="2"/>
  <c r="O24" i="2"/>
  <c r="O144" i="1"/>
  <c r="J27" i="1"/>
  <c r="S24" i="1"/>
  <c r="R24" i="1"/>
  <c r="R46" i="1"/>
  <c r="J25" i="1"/>
  <c r="Q25" i="1"/>
  <c r="R25" i="1"/>
  <c r="R8" i="1"/>
  <c r="Q116" i="1"/>
  <c r="S116" i="1"/>
  <c r="O130" i="1"/>
  <c r="S130" i="1"/>
  <c r="R130" i="1"/>
  <c r="R132" i="1"/>
  <c r="S132" i="1"/>
  <c r="O132" i="1"/>
  <c r="O15" i="2"/>
  <c r="Q106" i="1"/>
  <c r="Q16" i="2"/>
  <c r="S14" i="2"/>
  <c r="Q28" i="1"/>
  <c r="R105" i="1"/>
  <c r="S105" i="1"/>
  <c r="Q41" i="1"/>
  <c r="J41" i="1"/>
  <c r="J32" i="1"/>
  <c r="Q32" i="1"/>
  <c r="Q135" i="1"/>
  <c r="J23" i="1"/>
  <c r="J6" i="1"/>
  <c r="J74" i="1"/>
  <c r="J13" i="1"/>
  <c r="Q13" i="1"/>
  <c r="R121" i="1"/>
  <c r="S20" i="2"/>
  <c r="J20" i="2"/>
  <c r="Q13" i="2"/>
  <c r="J49" i="1"/>
  <c r="J38" i="1"/>
  <c r="Q38" i="1"/>
  <c r="R22" i="2"/>
  <c r="S127" i="1"/>
  <c r="R127" i="1"/>
  <c r="Q129" i="1"/>
  <c r="Q131" i="1"/>
  <c r="R137" i="1"/>
  <c r="S137" i="1"/>
  <c r="O137" i="1"/>
  <c r="J21" i="2"/>
  <c r="Q21" i="2"/>
  <c r="R106" i="1"/>
  <c r="J97" i="1"/>
  <c r="Q97" i="1"/>
  <c r="R21" i="2"/>
  <c r="S6" i="1"/>
  <c r="S97" i="1"/>
  <c r="J30" i="1"/>
  <c r="R30" i="1"/>
  <c r="Q8" i="1"/>
  <c r="J8" i="1"/>
  <c r="S21" i="2"/>
  <c r="Q114" i="1"/>
  <c r="S13" i="2"/>
  <c r="S16" i="2"/>
  <c r="Q75" i="1"/>
  <c r="O3" i="2"/>
  <c r="R16" i="2"/>
  <c r="J92" i="1"/>
  <c r="J116" i="1"/>
  <c r="Q46" i="1"/>
  <c r="O129" i="1"/>
  <c r="S129" i="1"/>
  <c r="R129" i="1"/>
  <c r="O131" i="1"/>
  <c r="S131" i="1"/>
  <c r="R131" i="1"/>
  <c r="J82" i="1"/>
  <c r="Q82" i="1"/>
  <c r="S106" i="1"/>
  <c r="Q93" i="1"/>
  <c r="R117" i="1"/>
  <c r="S117" i="1"/>
  <c r="J44" i="1"/>
  <c r="Q44" i="1"/>
  <c r="Q33" i="1"/>
  <c r="J33" i="1"/>
  <c r="Q6" i="1"/>
  <c r="S22" i="2"/>
  <c r="J134" i="1"/>
  <c r="O21" i="2"/>
  <c r="O133" i="1"/>
  <c r="O135" i="1"/>
  <c r="O136" i="1"/>
  <c r="S133" i="1"/>
  <c r="S135" i="1"/>
  <c r="O6" i="2"/>
  <c r="R44" i="1" l="1"/>
  <c r="S44" i="1"/>
  <c r="S41" i="1"/>
  <c r="R41" i="1"/>
  <c r="S15" i="1"/>
  <c r="R15" i="1"/>
  <c r="S108" i="1"/>
  <c r="R108" i="1"/>
  <c r="S100" i="1"/>
  <c r="R100" i="1"/>
  <c r="S94" i="1"/>
  <c r="R94" i="1"/>
  <c r="R91" i="1"/>
  <c r="S91" i="1"/>
  <c r="S65" i="1"/>
  <c r="R65" i="1"/>
  <c r="R62" i="1"/>
  <c r="S62" i="1"/>
  <c r="S28" i="1"/>
  <c r="R28" i="1"/>
  <c r="R4" i="1"/>
  <c r="S4" i="1"/>
  <c r="R114" i="1"/>
  <c r="S114" i="1"/>
  <c r="R49" i="1"/>
  <c r="S49" i="1"/>
  <c r="S51" i="1"/>
  <c r="R51" i="1"/>
  <c r="S70" i="1"/>
  <c r="R70" i="1"/>
  <c r="R67" i="1"/>
  <c r="S67" i="1"/>
  <c r="S64" i="1"/>
  <c r="R64" i="1"/>
  <c r="R48" i="1"/>
  <c r="S48" i="1"/>
  <c r="R43" i="1"/>
  <c r="S43" i="1"/>
  <c r="R40" i="1"/>
  <c r="S40" i="1"/>
  <c r="R23" i="1"/>
  <c r="S23" i="1"/>
  <c r="R20" i="1"/>
  <c r="S20" i="1"/>
  <c r="R14" i="1"/>
  <c r="S14" i="1"/>
  <c r="S3" i="1"/>
  <c r="R3" i="1"/>
  <c r="S118" i="1"/>
  <c r="R118" i="1"/>
  <c r="R88" i="1"/>
  <c r="S88" i="1"/>
  <c r="S35" i="1"/>
  <c r="R35" i="1"/>
  <c r="R93" i="1"/>
  <c r="S93" i="1"/>
  <c r="S85" i="1"/>
  <c r="R85" i="1"/>
  <c r="R61" i="1"/>
  <c r="S61" i="1"/>
  <c r="R50" i="1"/>
  <c r="S50" i="1"/>
  <c r="R37" i="1"/>
  <c r="S37" i="1"/>
  <c r="R17" i="1"/>
  <c r="S17" i="1"/>
  <c r="S111" i="1"/>
  <c r="R111" i="1"/>
  <c r="S59" i="1"/>
  <c r="R59" i="1"/>
  <c r="R96" i="1"/>
  <c r="S96" i="1"/>
  <c r="S90" i="1"/>
  <c r="R90" i="1"/>
  <c r="S87" i="1"/>
  <c r="R87" i="1"/>
  <c r="R83" i="1"/>
  <c r="S83" i="1"/>
  <c r="S78" i="1"/>
  <c r="R78" i="1"/>
  <c r="R75" i="1"/>
  <c r="S75" i="1"/>
  <c r="S72" i="1"/>
  <c r="R72" i="1"/>
  <c r="R69" i="1"/>
  <c r="S69" i="1"/>
  <c r="S56" i="1"/>
  <c r="R56" i="1"/>
  <c r="S47" i="1"/>
  <c r="R47" i="1"/>
  <c r="S39" i="1"/>
  <c r="R39" i="1"/>
  <c r="S34" i="1"/>
  <c r="R34" i="1"/>
  <c r="R13" i="1"/>
  <c r="S13" i="1"/>
  <c r="S86" i="1"/>
  <c r="R86" i="1"/>
  <c r="S68" i="1"/>
  <c r="R68" i="1"/>
  <c r="R21" i="1"/>
  <c r="S21" i="1"/>
  <c r="R54" i="1"/>
  <c r="S54" i="1"/>
  <c r="S92" i="1"/>
  <c r="R92" i="1"/>
  <c r="R66" i="1"/>
  <c r="S66" i="1"/>
  <c r="R63" i="1"/>
  <c r="S63" i="1"/>
  <c r="R60" i="1"/>
  <c r="S60" i="1"/>
  <c r="S42" i="1"/>
  <c r="R42" i="1"/>
  <c r="R31" i="1"/>
  <c r="S31" i="1"/>
  <c r="R22" i="1"/>
  <c r="S22" i="1"/>
  <c r="R16" i="1"/>
  <c r="S16" i="1"/>
  <c r="S2" i="1"/>
  <c r="R2" i="1"/>
  <c r="S110" i="1"/>
  <c r="R110" i="1"/>
  <c r="R52" i="1"/>
  <c r="S52" i="1"/>
  <c r="S76" i="1"/>
  <c r="R76" i="1"/>
  <c r="S57" i="1"/>
  <c r="R57" i="1"/>
  <c r="S18" i="1"/>
  <c r="R18" i="1"/>
  <c r="S103" i="1"/>
  <c r="R103" i="1"/>
  <c r="S98" i="1"/>
  <c r="R98" i="1"/>
  <c r="R95" i="1"/>
  <c r="S95" i="1"/>
  <c r="R89" i="1"/>
  <c r="S89" i="1"/>
  <c r="S82" i="1"/>
  <c r="R82" i="1"/>
  <c r="R80" i="1"/>
  <c r="S80" i="1"/>
  <c r="S77" i="1"/>
  <c r="R77" i="1"/>
  <c r="S74" i="1"/>
  <c r="R74" i="1"/>
  <c r="R55" i="1"/>
  <c r="S55" i="1"/>
  <c r="S36" i="1"/>
  <c r="R36" i="1"/>
  <c r="S33" i="1"/>
  <c r="R33" i="1"/>
  <c r="R10" i="1"/>
  <c r="S10" i="1"/>
  <c r="S109" i="1"/>
  <c r="R109" i="1"/>
  <c r="S136" i="1"/>
  <c r="S104" i="1"/>
  <c r="S8" i="2"/>
  <c r="J2" i="2"/>
  <c r="J6" i="2"/>
  <c r="Q2" i="2"/>
  <c r="R2" i="2"/>
  <c r="J37" i="1"/>
  <c r="J115" i="1"/>
  <c r="Q11" i="1"/>
  <c r="Q102" i="1"/>
  <c r="S120" i="1"/>
  <c r="J136" i="1"/>
  <c r="Q51" i="1"/>
  <c r="S9" i="1"/>
  <c r="S79" i="1"/>
  <c r="J66" i="1"/>
  <c r="S102" i="1"/>
  <c r="R84" i="1"/>
  <c r="R81" i="1"/>
  <c r="S73" i="1"/>
  <c r="J19" i="2"/>
  <c r="Q19" i="2"/>
  <c r="R12" i="2"/>
  <c r="S18" i="2"/>
  <c r="O17" i="2"/>
  <c r="O11" i="2"/>
  <c r="J48" i="1"/>
  <c r="J128" i="1"/>
  <c r="O23" i="2"/>
  <c r="J25" i="2"/>
  <c r="R9" i="1"/>
  <c r="S3" i="2"/>
  <c r="Q104" i="1"/>
  <c r="S7" i="1"/>
  <c r="S71" i="1"/>
  <c r="J9" i="1"/>
  <c r="J87" i="1"/>
  <c r="J120" i="1"/>
  <c r="R24" i="2"/>
  <c r="S134" i="1"/>
  <c r="R134" i="1"/>
  <c r="J104" i="1"/>
  <c r="R136" i="1"/>
  <c r="S19" i="2"/>
  <c r="R120" i="1"/>
  <c r="J14" i="2"/>
  <c r="O18" i="2"/>
  <c r="R10" i="2"/>
  <c r="J10" i="2"/>
  <c r="Q6" i="2"/>
  <c r="S4" i="2"/>
  <c r="S112" i="1"/>
  <c r="J7" i="1"/>
  <c r="J16" i="1"/>
  <c r="R143" i="1"/>
  <c r="S24" i="2"/>
  <c r="R25" i="2"/>
  <c r="S140" i="1"/>
  <c r="R107" i="1"/>
  <c r="S107" i="1"/>
  <c r="Q3" i="2"/>
  <c r="S53" i="1"/>
  <c r="J5" i="1"/>
  <c r="O145" i="1"/>
  <c r="S5" i="1"/>
  <c r="S45" i="1"/>
  <c r="J42" i="1"/>
  <c r="R115" i="1"/>
  <c r="R11" i="1"/>
  <c r="Q123" i="1"/>
  <c r="Q124" i="1"/>
  <c r="Q125" i="1"/>
  <c r="Q126" i="1"/>
  <c r="S23" i="2"/>
  <c r="S142" i="1"/>
  <c r="Q24" i="2"/>
  <c r="J107" i="1"/>
  <c r="Q18" i="1"/>
  <c r="R5" i="1"/>
  <c r="R3" i="2"/>
  <c r="J8" i="2"/>
</calcChain>
</file>

<file path=xl/sharedStrings.xml><?xml version="1.0" encoding="utf-8"?>
<sst xmlns="http://schemas.openxmlformats.org/spreadsheetml/2006/main" count="62" uniqueCount="33">
  <si>
    <t>NEM</t>
  </si>
  <si>
    <t>%NEM (sur cas traités)</t>
  </si>
  <si>
    <t>Nouvelles demandes</t>
  </si>
  <si>
    <t>Demandes multiples</t>
  </si>
  <si>
    <t>Nouvelles demandes (sans dem. multiples)</t>
  </si>
  <si>
    <r>
      <rPr>
        <b/>
        <sz val="10"/>
        <rFont val="Verdana"/>
        <family val="2"/>
      </rPr>
      <t>C</t>
    </r>
    <r>
      <rPr>
        <b/>
        <sz val="10"/>
        <rFont val="Verdana"/>
        <family val="2"/>
      </rPr>
      <t>as traités</t>
    </r>
  </si>
  <si>
    <r>
      <rPr>
        <b/>
        <sz val="10"/>
        <rFont val="Verdana"/>
        <family val="2"/>
      </rPr>
      <t>R</t>
    </r>
    <r>
      <rPr>
        <b/>
        <sz val="10"/>
        <rFont val="Verdana"/>
        <family val="2"/>
      </rPr>
      <t>adiations</t>
    </r>
  </si>
  <si>
    <t>NEM avec Admission Provisoire</t>
  </si>
  <si>
    <t>Cas traités (sans radiations)</t>
  </si>
  <si>
    <t>Décisions positives (y c. AP)</t>
  </si>
  <si>
    <t>Décisions négatives (rejets)</t>
  </si>
  <si>
    <t>Mois</t>
  </si>
  <si>
    <t>Admission Provisoire (y c. NEM avec AP)</t>
  </si>
  <si>
    <t>dont NEM-Dublin (1)</t>
  </si>
  <si>
    <t>(1)</t>
  </si>
  <si>
    <t xml:space="preserve">NEM Dublin, inclus dans la colonne NEM </t>
  </si>
  <si>
    <t>(2)</t>
  </si>
  <si>
    <t>Octroi asile (2)</t>
  </si>
  <si>
    <t>Personnes ayant obtenu le statut de réfugié (permis B ou C)</t>
  </si>
  <si>
    <t>(3)</t>
  </si>
  <si>
    <t>(4)</t>
  </si>
  <si>
    <t>Admission Provisoire (3)</t>
  </si>
  <si>
    <t>Personnes ayant obtenu une admission provisoire (permis F)</t>
  </si>
  <si>
    <t>(5)</t>
  </si>
  <si>
    <t>Taux de reconnaissance du besoin de protection tel que calculé par Vivre Ensemble: décisions positives / (cas traités sans radiation-NEM)*100</t>
  </si>
  <si>
    <t>Taux de reconnaissance SEM (4)</t>
  </si>
  <si>
    <t>Taux de Protection SEM (5)</t>
  </si>
  <si>
    <t>Taux d'acceptation Vivre Ensemble, y c. AP sans NEM (%) (6)</t>
  </si>
  <si>
    <t>(6)</t>
  </si>
  <si>
    <t>Taux de protection tel que calculé par le Secrétariat d'Etat aux migrations (SEM): octroi de l'asile + admissions provisoires / cas traités sans radiations *100</t>
  </si>
  <si>
    <t>Taux de reconnaissance tel que calculé par le Secrétariat d'Etat aux migrations (SEM): octroi de l'asile / cas traités sans radiations *100</t>
  </si>
  <si>
    <t>Année</t>
  </si>
  <si>
    <t>%NEM (sur cas traités sans radiations)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</si>
</sst>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0.0"/>
    <numFmt numFmtId="166" formatCode="#,##0.0"/>
  </numFmts>
  <fonts count="6" x14ac:knownFonts="1"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78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3" fontId="0" fillId="0" borderId="0" xfId="0" applyNumberFormat="1"/>
    <xf numFmtId="166" fontId="0" fillId="0" borderId="0" xfId="0" applyNumberFormat="1"/>
    <xf numFmtId="164" fontId="0" fillId="2" borderId="0" xfId="0" applyNumberFormat="1" applyFill="1"/>
    <xf numFmtId="3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164" fontId="0" fillId="3" borderId="0" xfId="0" applyNumberFormat="1" applyFill="1"/>
    <xf numFmtId="3" fontId="0" fillId="3" borderId="0" xfId="0" applyNumberFormat="1" applyFill="1"/>
    <xf numFmtId="166" fontId="0" fillId="3" borderId="0" xfId="0" applyNumberFormat="1" applyFill="1"/>
    <xf numFmtId="165" fontId="0" fillId="3" borderId="0" xfId="0" applyNumberFormat="1" applyFill="1"/>
    <xf numFmtId="164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166" fontId="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49" fontId="0" fillId="0" borderId="0" xfId="0" applyNumberFormat="1" applyAlignment="1">
      <alignment horizontal="right"/>
    </xf>
    <xf numFmtId="165" fontId="0" fillId="0" borderId="0" xfId="0" applyNumberFormat="1"/>
    <xf numFmtId="3" fontId="0" fillId="0" borderId="0" xfId="0" applyNumberFormat="1" applyAlignment="1">
      <alignment vertical="center"/>
    </xf>
    <xf numFmtId="3" fontId="0" fillId="5" borderId="0" xfId="0" applyNumberFormat="1" applyFill="1"/>
    <xf numFmtId="3" fontId="0" fillId="2" borderId="0" xfId="311" applyNumberFormat="1" applyFont="1" applyFill="1" applyAlignment="1">
      <alignment horizontal="right" vertical="center"/>
    </xf>
    <xf numFmtId="164" fontId="0" fillId="5" borderId="0" xfId="0" applyNumberFormat="1" applyFill="1"/>
    <xf numFmtId="164" fontId="0" fillId="6" borderId="0" xfId="0" applyNumberFormat="1" applyFill="1"/>
    <xf numFmtId="3" fontId="0" fillId="6" borderId="0" xfId="0" applyNumberFormat="1" applyFill="1"/>
    <xf numFmtId="166" fontId="0" fillId="6" borderId="0" xfId="0" applyNumberFormat="1" applyFill="1"/>
    <xf numFmtId="165" fontId="0" fillId="6" borderId="0" xfId="0" applyNumberFormat="1" applyFill="1"/>
    <xf numFmtId="0" fontId="0" fillId="6" borderId="0" xfId="0" applyFill="1"/>
    <xf numFmtId="164" fontId="0" fillId="7" borderId="0" xfId="0" applyNumberFormat="1" applyFill="1"/>
    <xf numFmtId="3" fontId="0" fillId="7" borderId="0" xfId="0" applyNumberFormat="1" applyFill="1"/>
    <xf numFmtId="166" fontId="0" fillId="7" borderId="0" xfId="0" applyNumberFormat="1" applyFill="1"/>
    <xf numFmtId="165" fontId="0" fillId="7" borderId="0" xfId="0" applyNumberFormat="1" applyFill="1"/>
    <xf numFmtId="0" fontId="0" fillId="7" borderId="0" xfId="0" applyFill="1"/>
  </cellXfs>
  <cellStyles count="786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Normal" xfId="0" builtinId="0"/>
    <cellStyle name="Standard 2" xfId="311" xr:uid="{00000000-0005-0000-0000-000011030000}"/>
  </cellStyles>
  <dxfs count="21"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solid">
          <fgColor indexed="64"/>
          <bgColor theme="8" tint="0.79998168889431442"/>
        </patternFill>
      </fill>
    </dxf>
    <dxf>
      <numFmt numFmtId="165" formatCode="0.0"/>
      <fill>
        <patternFill patternType="none">
          <fgColor indexed="64"/>
          <bgColor theme="0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theme="8" tint="0.79998168889431442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166" formatCode="#,##0.0"/>
      <fill>
        <patternFill patternType="none">
          <fgColor indexed="64"/>
          <bgColor rgb="FFFFFF00"/>
        </patternFill>
      </fill>
    </dxf>
    <dxf>
      <numFmt numFmtId="3" formatCode="#,##0"/>
      <fill>
        <patternFill patternType="solid">
          <fgColor indexed="64"/>
          <bgColor theme="9" tint="0.79998168889431442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theme="8" tint="0.79998168889431442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164" formatCode="mm/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sile3" displayName="Asile3" ref="A1:S120" totalsRowShown="0" headerRowDxfId="20" dataDxfId="19">
  <autoFilter ref="A1:S120" xr:uid="{00000000-0009-0000-0100-000002000000}"/>
  <tableColumns count="19">
    <tableColumn id="1" xr3:uid="{00000000-0010-0000-0000-000001000000}" name="Mois" dataDxfId="18"/>
    <tableColumn id="2" xr3:uid="{00000000-0010-0000-0000-000002000000}" name="Nouvelles demandes" dataDxfId="17"/>
    <tableColumn id="3" xr3:uid="{00000000-0010-0000-0000-000003000000}" name="Demandes multiples" dataDxfId="16"/>
    <tableColumn id="4" xr3:uid="{00000000-0010-0000-0000-000004000000}" name="Nouvelles demandes (sans dem. multiples)" dataDxfId="15"/>
    <tableColumn id="5" xr3:uid="{00000000-0010-0000-0000-000005000000}" name="Cas traités" dataDxfId="14"/>
    <tableColumn id="6" xr3:uid="{00000000-0010-0000-0000-000006000000}" name="Radiations" dataDxfId="13"/>
    <tableColumn id="7" xr3:uid="{00000000-0010-0000-0000-000007000000}" name="Cas traités (sans radiations)" dataDxfId="12"/>
    <tableColumn id="15" xr3:uid="{00000000-0010-0000-0000-00000F000000}" name="NEM" dataDxfId="11"/>
    <tableColumn id="19" xr3:uid="{00000000-0010-0000-0000-000013000000}" name="dont NEM-Dublin (1)" dataDxfId="10"/>
    <tableColumn id="11" xr3:uid="{00000000-0010-0000-0000-00000B000000}" name="%NEM (sur cas traités)" dataDxfId="9">
      <calculatedColumnFormula>(H2/G2)*100</calculatedColumnFormula>
    </tableColumn>
    <tableColumn id="8" xr3:uid="{00000000-0010-0000-0000-000008000000}" name="Octroi asile (2)" dataDxfId="8"/>
    <tableColumn id="17" xr3:uid="{00000000-0010-0000-0000-000011000000}" name="Admission Provisoire (3)" dataDxfId="7"/>
    <tableColumn id="16" xr3:uid="{00000000-0010-0000-0000-000010000000}" name="NEM avec Admission Provisoire" dataDxfId="6"/>
    <tableColumn id="9" xr3:uid="{00000000-0010-0000-0000-000009000000}" name="Admission Provisoire (y c. NEM avec AP)" dataDxfId="5"/>
    <tableColumn id="10" xr3:uid="{00000000-0010-0000-0000-00000A000000}" name="Décisions positives (y c. AP)" dataDxfId="4">
      <calculatedColumnFormula>K2+N2</calculatedColumnFormula>
    </tableColumn>
    <tableColumn id="12" xr3:uid="{00000000-0010-0000-0000-00000C000000}" name="Décisions négatives (rejets)" dataDxfId="3"/>
    <tableColumn id="13" xr3:uid="{00000000-0010-0000-0000-00000D000000}" name="Taux de reconnaissance SEM (4)" dataDxfId="2">
      <calculatedColumnFormula>(K2/G2)*100</calculatedColumnFormula>
    </tableColumn>
    <tableColumn id="18" xr3:uid="{00000000-0010-0000-0000-000012000000}" name="Taux de Protection SEM (5)" dataDxfId="1">
      <calculatedColumnFormula>(O2/G2)*100</calculatedColumnFormula>
    </tableColumn>
    <tableColumn id="14" xr3:uid="{00000000-0010-0000-0000-00000E000000}" name="Taux d'acceptation Vivre Ensemble, y c. AP sans NEM (%) (6)" dataDxfId="0">
      <calculatedColumnFormula>O2/(G2-H2)*100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50"/>
    <pageSetUpPr fitToPage="1"/>
  </sheetPr>
  <dimension ref="A1:S177"/>
  <sheetViews>
    <sheetView tabSelected="1" workbookViewId="0">
      <pane ySplit="1" topLeftCell="A150" activePane="bottomLeft" state="frozen"/>
      <selection pane="bottomLeft" activeCell="B165" sqref="A165:XFD165"/>
    </sheetView>
  </sheetViews>
  <sheetFormatPr baseColWidth="10" defaultColWidth="10.625" defaultRowHeight="12.75" x14ac:dyDescent="0.2"/>
  <cols>
    <col min="1" max="1" width="11.625" style="1" customWidth="1"/>
    <col min="2" max="2" width="12.5" style="2" customWidth="1"/>
    <col min="3" max="3" width="12.375" style="2" customWidth="1"/>
    <col min="4" max="8" width="14.625" style="2" customWidth="1"/>
    <col min="9" max="9" width="14.625" style="3" customWidth="1"/>
    <col min="10" max="10" width="16.875" style="2" customWidth="1"/>
    <col min="11" max="12" width="14.625" style="2" customWidth="1"/>
    <col min="13" max="13" width="13.5" style="2" customWidth="1"/>
    <col min="14" max="14" width="13" style="2" customWidth="1"/>
    <col min="15" max="15" width="14.125" style="2" customWidth="1"/>
    <col min="16" max="16" width="14.625" style="2" customWidth="1"/>
    <col min="17" max="17" width="14.375" customWidth="1"/>
    <col min="18" max="18" width="13.875" customWidth="1"/>
    <col min="19" max="19" width="14.125" customWidth="1"/>
  </cols>
  <sheetData>
    <row r="1" spans="1:19" ht="76.5" x14ac:dyDescent="0.2">
      <c r="A1" s="12" t="s">
        <v>11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8</v>
      </c>
      <c r="H1" s="13" t="s">
        <v>0</v>
      </c>
      <c r="I1" s="13" t="s">
        <v>13</v>
      </c>
      <c r="J1" s="14" t="s">
        <v>1</v>
      </c>
      <c r="K1" s="13" t="s">
        <v>17</v>
      </c>
      <c r="L1" s="13" t="s">
        <v>21</v>
      </c>
      <c r="M1" s="13" t="s">
        <v>7</v>
      </c>
      <c r="N1" s="13" t="s">
        <v>12</v>
      </c>
      <c r="O1" s="13" t="s">
        <v>9</v>
      </c>
      <c r="P1" s="13" t="s">
        <v>10</v>
      </c>
      <c r="Q1" s="15" t="s">
        <v>25</v>
      </c>
      <c r="R1" s="15" t="s">
        <v>26</v>
      </c>
      <c r="S1" s="15" t="s">
        <v>27</v>
      </c>
    </row>
    <row r="2" spans="1:19" x14ac:dyDescent="0.2">
      <c r="A2" s="8">
        <v>37621</v>
      </c>
      <c r="B2" s="9">
        <v>1158</v>
      </c>
      <c r="C2" s="9">
        <v>172</v>
      </c>
      <c r="D2" s="9">
        <f t="shared" ref="D2:D65" si="0">B2-C2</f>
        <v>986</v>
      </c>
      <c r="E2" s="9">
        <v>757</v>
      </c>
      <c r="F2" s="9">
        <v>167</v>
      </c>
      <c r="G2" s="9">
        <f t="shared" ref="G2:G65" si="1">E2-F2</f>
        <v>590</v>
      </c>
      <c r="H2" s="9">
        <v>186</v>
      </c>
      <c r="I2" s="9">
        <v>0</v>
      </c>
      <c r="J2" s="10">
        <f t="shared" ref="J2:J65" si="2">(H2/G2)*100</f>
        <v>31.525423728813561</v>
      </c>
      <c r="K2" s="9">
        <v>101</v>
      </c>
      <c r="L2" s="9">
        <v>108</v>
      </c>
      <c r="M2" s="9">
        <v>6</v>
      </c>
      <c r="N2" s="9">
        <f>L2+M2</f>
        <v>114</v>
      </c>
      <c r="O2" s="9">
        <f t="shared" ref="O2:O65" si="3">K2+N2</f>
        <v>215</v>
      </c>
      <c r="P2" s="9">
        <v>189</v>
      </c>
      <c r="Q2" s="11">
        <f t="shared" ref="Q2:Q66" si="4">(K2/G2)*100</f>
        <v>17.118644067796609</v>
      </c>
      <c r="R2" s="11">
        <f t="shared" ref="R2:R33" si="5">(O2/G2)*100</f>
        <v>36.440677966101696</v>
      </c>
      <c r="S2" s="11">
        <f>O2/(G2-H2)*100</f>
        <v>53.21782178217822</v>
      </c>
    </row>
    <row r="3" spans="1:19" x14ac:dyDescent="0.2">
      <c r="A3" s="8">
        <v>37652</v>
      </c>
      <c r="B3" s="9">
        <v>1015</v>
      </c>
      <c r="C3" s="9">
        <v>124</v>
      </c>
      <c r="D3" s="9">
        <f t="shared" si="0"/>
        <v>891</v>
      </c>
      <c r="E3" s="9">
        <v>880</v>
      </c>
      <c r="F3" s="9">
        <v>159</v>
      </c>
      <c r="G3" s="9">
        <f t="shared" si="1"/>
        <v>721</v>
      </c>
      <c r="H3" s="9">
        <v>252</v>
      </c>
      <c r="I3" s="9">
        <v>0</v>
      </c>
      <c r="J3" s="10">
        <f t="shared" si="2"/>
        <v>34.95145631067961</v>
      </c>
      <c r="K3" s="9">
        <v>95</v>
      </c>
      <c r="L3" s="9">
        <v>158</v>
      </c>
      <c r="M3" s="9">
        <v>23</v>
      </c>
      <c r="N3" s="9">
        <f>L3+M3</f>
        <v>181</v>
      </c>
      <c r="O3" s="9">
        <f t="shared" si="3"/>
        <v>276</v>
      </c>
      <c r="P3" s="9">
        <v>193</v>
      </c>
      <c r="Q3" s="11">
        <f t="shared" si="4"/>
        <v>13.176144244105409</v>
      </c>
      <c r="R3" s="11">
        <f t="shared" si="5"/>
        <v>38.280166435506239</v>
      </c>
      <c r="S3" s="11">
        <f t="shared" ref="S3:S65" si="6">O3/(G3-H3)*100</f>
        <v>58.848614072494662</v>
      </c>
    </row>
    <row r="4" spans="1:19" x14ac:dyDescent="0.2">
      <c r="A4" s="8">
        <v>37680</v>
      </c>
      <c r="B4" s="9">
        <v>969</v>
      </c>
      <c r="C4" s="9">
        <v>127</v>
      </c>
      <c r="D4" s="9">
        <f t="shared" si="0"/>
        <v>842</v>
      </c>
      <c r="E4" s="9">
        <v>947</v>
      </c>
      <c r="F4" s="9">
        <v>200</v>
      </c>
      <c r="G4" s="9">
        <f t="shared" si="1"/>
        <v>747</v>
      </c>
      <c r="H4" s="9">
        <v>255</v>
      </c>
      <c r="I4" s="9">
        <v>0</v>
      </c>
      <c r="J4" s="10">
        <f t="shared" si="2"/>
        <v>34.136546184738961</v>
      </c>
      <c r="K4" s="9">
        <v>130</v>
      </c>
      <c r="L4" s="9">
        <v>133</v>
      </c>
      <c r="M4" s="9">
        <v>31</v>
      </c>
      <c r="N4" s="9">
        <f t="shared" ref="N4:N10" si="7">L4+M4</f>
        <v>164</v>
      </c>
      <c r="O4" s="9">
        <f t="shared" si="3"/>
        <v>294</v>
      </c>
      <c r="P4" s="9">
        <v>198</v>
      </c>
      <c r="Q4" s="11">
        <f t="shared" si="4"/>
        <v>17.402945113788487</v>
      </c>
      <c r="R4" s="11">
        <f t="shared" si="5"/>
        <v>39.357429718875501</v>
      </c>
      <c r="S4" s="11">
        <f t="shared" si="6"/>
        <v>59.756097560975604</v>
      </c>
    </row>
    <row r="5" spans="1:19" x14ac:dyDescent="0.2">
      <c r="A5" s="8">
        <v>37711</v>
      </c>
      <c r="B5" s="9">
        <v>753</v>
      </c>
      <c r="C5" s="9">
        <v>103</v>
      </c>
      <c r="D5" s="9">
        <f t="shared" si="0"/>
        <v>650</v>
      </c>
      <c r="E5" s="9">
        <v>852</v>
      </c>
      <c r="F5" s="9">
        <v>181</v>
      </c>
      <c r="G5" s="9">
        <f t="shared" si="1"/>
        <v>671</v>
      </c>
      <c r="H5" s="9">
        <v>186</v>
      </c>
      <c r="I5" s="9">
        <v>0</v>
      </c>
      <c r="J5" s="10">
        <f t="shared" si="2"/>
        <v>27.719821162444113</v>
      </c>
      <c r="K5" s="9">
        <v>145</v>
      </c>
      <c r="L5" s="9">
        <v>151</v>
      </c>
      <c r="M5" s="9">
        <v>29</v>
      </c>
      <c r="N5" s="9">
        <f t="shared" si="7"/>
        <v>180</v>
      </c>
      <c r="O5" s="9">
        <f t="shared" si="3"/>
        <v>325</v>
      </c>
      <c r="P5" s="9">
        <v>160</v>
      </c>
      <c r="Q5" s="11">
        <f t="shared" si="4"/>
        <v>21.609538002980628</v>
      </c>
      <c r="R5" s="11">
        <f t="shared" si="5"/>
        <v>48.435171385991062</v>
      </c>
      <c r="S5" s="11">
        <f t="shared" si="6"/>
        <v>67.010309278350505</v>
      </c>
    </row>
    <row r="6" spans="1:19" x14ac:dyDescent="0.2">
      <c r="A6" s="8">
        <v>37741</v>
      </c>
      <c r="B6" s="9">
        <v>967</v>
      </c>
      <c r="C6" s="9">
        <v>120</v>
      </c>
      <c r="D6" s="9">
        <f t="shared" si="0"/>
        <v>847</v>
      </c>
      <c r="E6" s="9">
        <v>1036</v>
      </c>
      <c r="F6" s="9">
        <v>358</v>
      </c>
      <c r="G6" s="9">
        <f t="shared" si="1"/>
        <v>678</v>
      </c>
      <c r="H6" s="9">
        <v>204</v>
      </c>
      <c r="I6" s="9">
        <v>0</v>
      </c>
      <c r="J6" s="10">
        <f t="shared" si="2"/>
        <v>30.088495575221241</v>
      </c>
      <c r="K6" s="9">
        <v>163</v>
      </c>
      <c r="L6" s="9">
        <v>130</v>
      </c>
      <c r="M6" s="9">
        <v>13</v>
      </c>
      <c r="N6" s="9">
        <f t="shared" si="7"/>
        <v>143</v>
      </c>
      <c r="O6" s="9">
        <f t="shared" si="3"/>
        <v>306</v>
      </c>
      <c r="P6" s="9">
        <v>168</v>
      </c>
      <c r="Q6" s="11">
        <f t="shared" si="4"/>
        <v>24.041297935103245</v>
      </c>
      <c r="R6" s="11">
        <f t="shared" si="5"/>
        <v>45.132743362831853</v>
      </c>
      <c r="S6" s="11">
        <f t="shared" si="6"/>
        <v>64.556962025316452</v>
      </c>
    </row>
    <row r="7" spans="1:19" x14ac:dyDescent="0.2">
      <c r="A7" s="8">
        <v>37772</v>
      </c>
      <c r="B7" s="9">
        <v>730</v>
      </c>
      <c r="C7" s="9">
        <v>110</v>
      </c>
      <c r="D7" s="9">
        <f t="shared" si="0"/>
        <v>620</v>
      </c>
      <c r="E7" s="9">
        <v>949</v>
      </c>
      <c r="F7" s="9">
        <v>204</v>
      </c>
      <c r="G7" s="9">
        <f t="shared" si="1"/>
        <v>745</v>
      </c>
      <c r="H7" s="9">
        <v>231</v>
      </c>
      <c r="I7" s="9">
        <v>0</v>
      </c>
      <c r="J7" s="10">
        <f t="shared" si="2"/>
        <v>31.006711409395969</v>
      </c>
      <c r="K7" s="9">
        <v>171</v>
      </c>
      <c r="L7" s="9">
        <v>160</v>
      </c>
      <c r="M7" s="9">
        <v>13</v>
      </c>
      <c r="N7" s="9">
        <f t="shared" si="7"/>
        <v>173</v>
      </c>
      <c r="O7" s="9">
        <f t="shared" si="3"/>
        <v>344</v>
      </c>
      <c r="P7" s="9">
        <v>170</v>
      </c>
      <c r="Q7" s="11">
        <f t="shared" si="4"/>
        <v>22.95302013422819</v>
      </c>
      <c r="R7" s="11">
        <f t="shared" si="5"/>
        <v>46.174496644295303</v>
      </c>
      <c r="S7" s="11">
        <f t="shared" si="6"/>
        <v>66.926070038910495</v>
      </c>
    </row>
    <row r="8" spans="1:19" x14ac:dyDescent="0.2">
      <c r="A8" s="8">
        <v>37802</v>
      </c>
      <c r="B8" s="9">
        <v>876</v>
      </c>
      <c r="C8" s="9">
        <v>86</v>
      </c>
      <c r="D8" s="9">
        <f t="shared" si="0"/>
        <v>790</v>
      </c>
      <c r="E8" s="9">
        <v>781</v>
      </c>
      <c r="F8" s="9">
        <v>150</v>
      </c>
      <c r="G8" s="9">
        <f t="shared" si="1"/>
        <v>631</v>
      </c>
      <c r="H8" s="9">
        <v>218</v>
      </c>
      <c r="I8" s="9">
        <v>0</v>
      </c>
      <c r="J8" s="10">
        <f t="shared" si="2"/>
        <v>34.548335974643422</v>
      </c>
      <c r="K8" s="9">
        <v>121</v>
      </c>
      <c r="L8" s="9">
        <v>124</v>
      </c>
      <c r="M8" s="9">
        <v>12</v>
      </c>
      <c r="N8" s="9">
        <f t="shared" si="7"/>
        <v>136</v>
      </c>
      <c r="O8" s="9">
        <f t="shared" si="3"/>
        <v>257</v>
      </c>
      <c r="P8" s="9">
        <v>156</v>
      </c>
      <c r="Q8" s="11">
        <f t="shared" si="4"/>
        <v>19.175911251980981</v>
      </c>
      <c r="R8" s="11">
        <f t="shared" si="5"/>
        <v>40.729001584786054</v>
      </c>
      <c r="S8" s="11">
        <f t="shared" si="6"/>
        <v>62.227602905569015</v>
      </c>
    </row>
    <row r="9" spans="1:19" x14ac:dyDescent="0.2">
      <c r="A9" s="8">
        <v>37833</v>
      </c>
      <c r="B9" s="9">
        <v>773</v>
      </c>
      <c r="C9" s="9">
        <v>93</v>
      </c>
      <c r="D9" s="9">
        <f t="shared" si="0"/>
        <v>680</v>
      </c>
      <c r="E9" s="9">
        <v>800</v>
      </c>
      <c r="F9" s="9">
        <v>132</v>
      </c>
      <c r="G9" s="9">
        <f t="shared" si="1"/>
        <v>668</v>
      </c>
      <c r="H9" s="9">
        <v>215</v>
      </c>
      <c r="I9" s="9">
        <v>0</v>
      </c>
      <c r="J9" s="10">
        <f t="shared" si="2"/>
        <v>32.185628742514972</v>
      </c>
      <c r="K9" s="9">
        <v>113</v>
      </c>
      <c r="L9" s="9">
        <v>163</v>
      </c>
      <c r="M9" s="9">
        <v>6</v>
      </c>
      <c r="N9" s="9">
        <f t="shared" si="7"/>
        <v>169</v>
      </c>
      <c r="O9" s="9">
        <f t="shared" si="3"/>
        <v>282</v>
      </c>
      <c r="P9" s="9">
        <v>171</v>
      </c>
      <c r="Q9" s="11">
        <f t="shared" si="4"/>
        <v>16.91616766467066</v>
      </c>
      <c r="R9" s="11">
        <f t="shared" si="5"/>
        <v>42.215568862275447</v>
      </c>
      <c r="S9" s="11">
        <f t="shared" si="6"/>
        <v>62.251655629139066</v>
      </c>
    </row>
    <row r="10" spans="1:19" x14ac:dyDescent="0.2">
      <c r="A10" s="8">
        <v>37864</v>
      </c>
      <c r="B10" s="9">
        <v>759</v>
      </c>
      <c r="C10" s="9">
        <v>99</v>
      </c>
      <c r="D10" s="9">
        <f t="shared" si="0"/>
        <v>660</v>
      </c>
      <c r="E10" s="9">
        <v>731</v>
      </c>
      <c r="F10" s="9">
        <v>100</v>
      </c>
      <c r="G10" s="9">
        <f t="shared" si="1"/>
        <v>631</v>
      </c>
      <c r="H10" s="9">
        <v>187</v>
      </c>
      <c r="I10" s="9">
        <v>0</v>
      </c>
      <c r="J10" s="10">
        <f t="shared" si="2"/>
        <v>29.635499207606976</v>
      </c>
      <c r="K10" s="9">
        <v>79</v>
      </c>
      <c r="L10" s="9">
        <v>149</v>
      </c>
      <c r="M10" s="9">
        <v>19</v>
      </c>
      <c r="N10" s="9">
        <f t="shared" si="7"/>
        <v>168</v>
      </c>
      <c r="O10" s="9">
        <f t="shared" si="3"/>
        <v>247</v>
      </c>
      <c r="P10" s="9">
        <v>197</v>
      </c>
      <c r="Q10" s="11">
        <f t="shared" si="4"/>
        <v>12.519809825673534</v>
      </c>
      <c r="R10" s="11">
        <f t="shared" si="5"/>
        <v>39.144215530903324</v>
      </c>
      <c r="S10" s="11">
        <f t="shared" si="6"/>
        <v>55.630630630630627</v>
      </c>
    </row>
    <row r="11" spans="1:19" x14ac:dyDescent="0.2">
      <c r="A11" s="8">
        <v>37894</v>
      </c>
      <c r="B11" s="9">
        <v>1105</v>
      </c>
      <c r="C11" s="9">
        <v>114</v>
      </c>
      <c r="D11" s="9">
        <f t="shared" si="0"/>
        <v>991</v>
      </c>
      <c r="E11" s="9">
        <v>816</v>
      </c>
      <c r="F11" s="9">
        <v>146</v>
      </c>
      <c r="G11" s="9">
        <f t="shared" si="1"/>
        <v>670</v>
      </c>
      <c r="H11" s="9">
        <v>212</v>
      </c>
      <c r="I11" s="9">
        <v>0</v>
      </c>
      <c r="J11" s="10">
        <f t="shared" si="2"/>
        <v>31.64179104477612</v>
      </c>
      <c r="K11" s="9">
        <v>154</v>
      </c>
      <c r="L11" s="9">
        <v>111</v>
      </c>
      <c r="M11" s="9">
        <v>8</v>
      </c>
      <c r="N11" s="9">
        <f t="shared" ref="N11:N13" si="8">L11+M11</f>
        <v>119</v>
      </c>
      <c r="O11" s="9">
        <f t="shared" si="3"/>
        <v>273</v>
      </c>
      <c r="P11" s="9">
        <v>185</v>
      </c>
      <c r="Q11" s="11">
        <f t="shared" si="4"/>
        <v>22.985074626865671</v>
      </c>
      <c r="R11" s="11">
        <f t="shared" si="5"/>
        <v>40.746268656716417</v>
      </c>
      <c r="S11" s="11">
        <f t="shared" si="6"/>
        <v>59.606986899563317</v>
      </c>
    </row>
    <row r="12" spans="1:19" x14ac:dyDescent="0.2">
      <c r="A12" s="8">
        <v>37925</v>
      </c>
      <c r="B12" s="9">
        <v>967</v>
      </c>
      <c r="C12" s="9">
        <v>90</v>
      </c>
      <c r="D12" s="9">
        <f t="shared" si="0"/>
        <v>877</v>
      </c>
      <c r="E12" s="9">
        <v>869</v>
      </c>
      <c r="F12" s="9">
        <v>150</v>
      </c>
      <c r="G12" s="9">
        <f t="shared" si="1"/>
        <v>719</v>
      </c>
      <c r="H12" s="9">
        <v>211</v>
      </c>
      <c r="I12" s="9">
        <v>0</v>
      </c>
      <c r="J12" s="10">
        <f t="shared" si="2"/>
        <v>29.346314325452017</v>
      </c>
      <c r="K12" s="9">
        <v>151</v>
      </c>
      <c r="L12" s="9">
        <v>147</v>
      </c>
      <c r="M12" s="9">
        <v>3</v>
      </c>
      <c r="N12" s="9">
        <f t="shared" si="8"/>
        <v>150</v>
      </c>
      <c r="O12" s="9">
        <f t="shared" si="3"/>
        <v>301</v>
      </c>
      <c r="P12" s="9">
        <v>207</v>
      </c>
      <c r="Q12" s="11">
        <f t="shared" si="4"/>
        <v>21.001390820584145</v>
      </c>
      <c r="R12" s="11">
        <f t="shared" si="5"/>
        <v>41.863699582753824</v>
      </c>
      <c r="S12" s="11">
        <f t="shared" si="6"/>
        <v>59.251968503937</v>
      </c>
    </row>
    <row r="13" spans="1:19" x14ac:dyDescent="0.2">
      <c r="A13" s="8">
        <v>37955</v>
      </c>
      <c r="B13" s="9">
        <v>772</v>
      </c>
      <c r="C13" s="9">
        <v>83</v>
      </c>
      <c r="D13" s="9">
        <f t="shared" si="0"/>
        <v>689</v>
      </c>
      <c r="E13" s="9">
        <v>652</v>
      </c>
      <c r="F13" s="9">
        <v>115</v>
      </c>
      <c r="G13" s="9">
        <f t="shared" si="1"/>
        <v>537</v>
      </c>
      <c r="H13" s="9">
        <v>140</v>
      </c>
      <c r="I13" s="9">
        <v>0</v>
      </c>
      <c r="J13" s="10">
        <f t="shared" si="2"/>
        <v>26.070763500931101</v>
      </c>
      <c r="K13" s="9">
        <v>114</v>
      </c>
      <c r="L13" s="9">
        <v>111</v>
      </c>
      <c r="M13" s="9">
        <v>11</v>
      </c>
      <c r="N13" s="9">
        <f t="shared" si="8"/>
        <v>122</v>
      </c>
      <c r="O13" s="9">
        <f t="shared" si="3"/>
        <v>236</v>
      </c>
      <c r="P13" s="9">
        <v>161</v>
      </c>
      <c r="Q13" s="11">
        <f t="shared" si="4"/>
        <v>21.229050279329609</v>
      </c>
      <c r="R13" s="11">
        <f t="shared" si="5"/>
        <v>43.947858472998135</v>
      </c>
      <c r="S13" s="11">
        <f t="shared" si="6"/>
        <v>59.445843828715361</v>
      </c>
    </row>
    <row r="14" spans="1:19" x14ac:dyDescent="0.2">
      <c r="A14" s="4">
        <v>37986</v>
      </c>
      <c r="B14" s="5">
        <v>1048</v>
      </c>
      <c r="C14" s="5">
        <v>147</v>
      </c>
      <c r="D14" s="5">
        <f t="shared" si="0"/>
        <v>901</v>
      </c>
      <c r="E14" s="5">
        <v>642</v>
      </c>
      <c r="F14" s="5">
        <v>95</v>
      </c>
      <c r="G14" s="5">
        <f t="shared" si="1"/>
        <v>547</v>
      </c>
      <c r="H14" s="5">
        <v>145</v>
      </c>
      <c r="I14" s="5">
        <v>0</v>
      </c>
      <c r="J14" s="6">
        <f t="shared" si="2"/>
        <v>26.508226691042047</v>
      </c>
      <c r="K14" s="5">
        <v>128</v>
      </c>
      <c r="L14" s="5">
        <f>75</f>
        <v>75</v>
      </c>
      <c r="M14" s="5">
        <v>3</v>
      </c>
      <c r="N14" s="5">
        <f t="shared" ref="N14:N19" si="9">L14+M14</f>
        <v>78</v>
      </c>
      <c r="O14" s="5">
        <f t="shared" si="3"/>
        <v>206</v>
      </c>
      <c r="P14" s="5">
        <v>196</v>
      </c>
      <c r="Q14" s="7">
        <f t="shared" si="4"/>
        <v>23.400365630712979</v>
      </c>
      <c r="R14" s="7">
        <f t="shared" si="5"/>
        <v>37.659963436928699</v>
      </c>
      <c r="S14" s="7">
        <f t="shared" si="6"/>
        <v>51.243781094527364</v>
      </c>
    </row>
    <row r="15" spans="1:19" x14ac:dyDescent="0.2">
      <c r="A15" s="4">
        <v>38017</v>
      </c>
      <c r="B15" s="5">
        <v>859</v>
      </c>
      <c r="C15" s="5">
        <v>106</v>
      </c>
      <c r="D15" s="5">
        <f t="shared" si="0"/>
        <v>753</v>
      </c>
      <c r="E15" s="5">
        <v>930</v>
      </c>
      <c r="F15" s="5">
        <v>98</v>
      </c>
      <c r="G15" s="5">
        <f t="shared" si="1"/>
        <v>832</v>
      </c>
      <c r="H15" s="5">
        <v>219</v>
      </c>
      <c r="I15" s="5">
        <v>0</v>
      </c>
      <c r="J15" s="6">
        <f t="shared" si="2"/>
        <v>26.322115384615387</v>
      </c>
      <c r="K15" s="5">
        <v>212</v>
      </c>
      <c r="L15" s="5">
        <f>194</f>
        <v>194</v>
      </c>
      <c r="M15" s="5">
        <v>12</v>
      </c>
      <c r="N15" s="5">
        <f t="shared" si="9"/>
        <v>206</v>
      </c>
      <c r="O15" s="5">
        <f t="shared" si="3"/>
        <v>418</v>
      </c>
      <c r="P15" s="5">
        <v>195</v>
      </c>
      <c r="Q15" s="7">
        <f t="shared" si="4"/>
        <v>25.48076923076923</v>
      </c>
      <c r="R15" s="7">
        <f t="shared" si="5"/>
        <v>50.240384615384613</v>
      </c>
      <c r="S15" s="7">
        <f t="shared" si="6"/>
        <v>68.189233278955953</v>
      </c>
    </row>
    <row r="16" spans="1:19" x14ac:dyDescent="0.2">
      <c r="A16" s="4">
        <v>38046</v>
      </c>
      <c r="B16" s="5">
        <v>879</v>
      </c>
      <c r="C16" s="5">
        <v>104</v>
      </c>
      <c r="D16" s="5">
        <f t="shared" si="0"/>
        <v>775</v>
      </c>
      <c r="E16" s="5">
        <v>757</v>
      </c>
      <c r="F16" s="5">
        <v>71</v>
      </c>
      <c r="G16" s="5">
        <f t="shared" si="1"/>
        <v>686</v>
      </c>
      <c r="H16" s="5">
        <v>212</v>
      </c>
      <c r="I16" s="5">
        <v>0</v>
      </c>
      <c r="J16" s="6">
        <f t="shared" si="2"/>
        <v>30.903790087463555</v>
      </c>
      <c r="K16" s="5">
        <v>132</v>
      </c>
      <c r="L16" s="5">
        <f>200</f>
        <v>200</v>
      </c>
      <c r="M16" s="5">
        <v>9</v>
      </c>
      <c r="N16" s="5">
        <f t="shared" si="9"/>
        <v>209</v>
      </c>
      <c r="O16" s="5">
        <f t="shared" si="3"/>
        <v>341</v>
      </c>
      <c r="P16" s="5">
        <v>133</v>
      </c>
      <c r="Q16" s="7">
        <f t="shared" si="4"/>
        <v>19.241982507288629</v>
      </c>
      <c r="R16" s="7">
        <f t="shared" si="5"/>
        <v>49.708454810495631</v>
      </c>
      <c r="S16" s="7">
        <f t="shared" si="6"/>
        <v>71.940928270042193</v>
      </c>
    </row>
    <row r="17" spans="1:19" x14ac:dyDescent="0.2">
      <c r="A17" s="4">
        <v>38077</v>
      </c>
      <c r="B17" s="5">
        <v>1086</v>
      </c>
      <c r="C17" s="5">
        <v>110</v>
      </c>
      <c r="D17" s="5">
        <f t="shared" si="0"/>
        <v>976</v>
      </c>
      <c r="E17" s="5">
        <v>951</v>
      </c>
      <c r="F17" s="5">
        <v>87</v>
      </c>
      <c r="G17" s="5">
        <f t="shared" si="1"/>
        <v>864</v>
      </c>
      <c r="H17" s="5">
        <v>252</v>
      </c>
      <c r="I17" s="5">
        <v>0</v>
      </c>
      <c r="J17" s="6">
        <f t="shared" si="2"/>
        <v>29.166666666666668</v>
      </c>
      <c r="K17" s="5">
        <v>230</v>
      </c>
      <c r="L17" s="5">
        <f>189</f>
        <v>189</v>
      </c>
      <c r="M17" s="5">
        <v>9</v>
      </c>
      <c r="N17" s="5">
        <f t="shared" si="9"/>
        <v>198</v>
      </c>
      <c r="O17" s="5">
        <f t="shared" si="3"/>
        <v>428</v>
      </c>
      <c r="P17" s="5">
        <v>184</v>
      </c>
      <c r="Q17" s="7">
        <f t="shared" si="4"/>
        <v>26.620370370370374</v>
      </c>
      <c r="R17" s="7">
        <f t="shared" si="5"/>
        <v>49.537037037037038</v>
      </c>
      <c r="S17" s="7">
        <f t="shared" si="6"/>
        <v>69.93464052287581</v>
      </c>
    </row>
    <row r="18" spans="1:19" x14ac:dyDescent="0.2">
      <c r="A18" s="4">
        <v>38107</v>
      </c>
      <c r="B18" s="5">
        <v>902</v>
      </c>
      <c r="C18" s="5">
        <v>88</v>
      </c>
      <c r="D18" s="5">
        <f t="shared" si="0"/>
        <v>814</v>
      </c>
      <c r="E18" s="5">
        <v>964</v>
      </c>
      <c r="F18" s="5">
        <v>114</v>
      </c>
      <c r="G18" s="5">
        <f t="shared" si="1"/>
        <v>850</v>
      </c>
      <c r="H18" s="5">
        <v>230</v>
      </c>
      <c r="I18" s="5">
        <v>0</v>
      </c>
      <c r="J18" s="6">
        <f t="shared" si="2"/>
        <v>27.058823529411764</v>
      </c>
      <c r="K18" s="5">
        <v>226</v>
      </c>
      <c r="L18" s="5">
        <f>193</f>
        <v>193</v>
      </c>
      <c r="M18" s="5">
        <v>12</v>
      </c>
      <c r="N18" s="5">
        <f t="shared" si="9"/>
        <v>205</v>
      </c>
      <c r="O18" s="5">
        <f t="shared" si="3"/>
        <v>431</v>
      </c>
      <c r="P18" s="5">
        <v>189</v>
      </c>
      <c r="Q18" s="7">
        <f t="shared" si="4"/>
        <v>26.588235294117645</v>
      </c>
      <c r="R18" s="7">
        <f t="shared" si="5"/>
        <v>50.705882352941181</v>
      </c>
      <c r="S18" s="7">
        <f t="shared" si="6"/>
        <v>69.516129032258064</v>
      </c>
    </row>
    <row r="19" spans="1:19" x14ac:dyDescent="0.2">
      <c r="A19" s="4">
        <v>38138</v>
      </c>
      <c r="B19" s="5">
        <v>1171</v>
      </c>
      <c r="C19" s="5">
        <v>127</v>
      </c>
      <c r="D19" s="5">
        <f t="shared" si="0"/>
        <v>1044</v>
      </c>
      <c r="E19" s="5">
        <v>836</v>
      </c>
      <c r="F19" s="5">
        <v>112</v>
      </c>
      <c r="G19" s="5">
        <f t="shared" si="1"/>
        <v>724</v>
      </c>
      <c r="H19" s="5">
        <v>197</v>
      </c>
      <c r="I19" s="5">
        <v>0</v>
      </c>
      <c r="J19" s="6">
        <f t="shared" si="2"/>
        <v>27.209944751381215</v>
      </c>
      <c r="K19" s="5">
        <v>173</v>
      </c>
      <c r="L19" s="5">
        <f>175</f>
        <v>175</v>
      </c>
      <c r="M19" s="5">
        <v>6</v>
      </c>
      <c r="N19" s="5">
        <f t="shared" si="9"/>
        <v>181</v>
      </c>
      <c r="O19" s="5">
        <f t="shared" si="3"/>
        <v>354</v>
      </c>
      <c r="P19" s="5">
        <v>173</v>
      </c>
      <c r="Q19" s="7">
        <f t="shared" si="4"/>
        <v>23.895027624309392</v>
      </c>
      <c r="R19" s="7">
        <f t="shared" si="5"/>
        <v>48.895027624309392</v>
      </c>
      <c r="S19" s="7">
        <f t="shared" si="6"/>
        <v>67.172675521821631</v>
      </c>
    </row>
    <row r="20" spans="1:19" x14ac:dyDescent="0.2">
      <c r="A20" s="4">
        <v>38168</v>
      </c>
      <c r="B20" s="5">
        <v>1096</v>
      </c>
      <c r="C20" s="5">
        <v>107</v>
      </c>
      <c r="D20" s="5">
        <f t="shared" si="0"/>
        <v>989</v>
      </c>
      <c r="E20" s="5">
        <v>860</v>
      </c>
      <c r="F20" s="5">
        <v>89</v>
      </c>
      <c r="G20" s="5">
        <f t="shared" si="1"/>
        <v>771</v>
      </c>
      <c r="H20" s="5">
        <v>214</v>
      </c>
      <c r="I20" s="5">
        <v>0</v>
      </c>
      <c r="J20" s="6">
        <f t="shared" si="2"/>
        <v>27.756160830090792</v>
      </c>
      <c r="K20" s="5">
        <v>188</v>
      </c>
      <c r="L20" s="5">
        <f>169</f>
        <v>169</v>
      </c>
      <c r="M20" s="5">
        <v>10</v>
      </c>
      <c r="N20" s="5">
        <f t="shared" ref="N20:N66" si="10">L20+M20</f>
        <v>179</v>
      </c>
      <c r="O20" s="5">
        <f t="shared" si="3"/>
        <v>367</v>
      </c>
      <c r="P20" s="5">
        <v>190</v>
      </c>
      <c r="Q20" s="7">
        <f t="shared" si="4"/>
        <v>24.383916990920881</v>
      </c>
      <c r="R20" s="7">
        <f t="shared" si="5"/>
        <v>47.600518806744482</v>
      </c>
      <c r="S20" s="7">
        <f t="shared" si="6"/>
        <v>65.888689407540397</v>
      </c>
    </row>
    <row r="21" spans="1:19" x14ac:dyDescent="0.2">
      <c r="A21" s="4">
        <v>38199</v>
      </c>
      <c r="B21" s="5">
        <v>1607</v>
      </c>
      <c r="C21" s="5">
        <v>119</v>
      </c>
      <c r="D21" s="5">
        <f t="shared" si="0"/>
        <v>1488</v>
      </c>
      <c r="E21" s="5">
        <v>848</v>
      </c>
      <c r="F21" s="5">
        <v>107</v>
      </c>
      <c r="G21" s="5">
        <f t="shared" si="1"/>
        <v>741</v>
      </c>
      <c r="H21" s="5">
        <v>176</v>
      </c>
      <c r="I21" s="5">
        <v>0</v>
      </c>
      <c r="J21" s="6">
        <f t="shared" si="2"/>
        <v>23.751686909581647</v>
      </c>
      <c r="K21" s="5">
        <v>208</v>
      </c>
      <c r="L21" s="5">
        <f>174</f>
        <v>174</v>
      </c>
      <c r="M21" s="5">
        <v>12</v>
      </c>
      <c r="N21" s="5">
        <f t="shared" si="10"/>
        <v>186</v>
      </c>
      <c r="O21" s="5">
        <f t="shared" si="3"/>
        <v>394</v>
      </c>
      <c r="P21" s="5">
        <v>171</v>
      </c>
      <c r="Q21" s="7">
        <f t="shared" si="4"/>
        <v>28.07017543859649</v>
      </c>
      <c r="R21" s="7">
        <f t="shared" si="5"/>
        <v>53.171390013495277</v>
      </c>
      <c r="S21" s="7">
        <f t="shared" si="6"/>
        <v>69.73451327433628</v>
      </c>
    </row>
    <row r="22" spans="1:19" x14ac:dyDescent="0.2">
      <c r="A22" s="4">
        <v>38230</v>
      </c>
      <c r="B22" s="5">
        <v>1703</v>
      </c>
      <c r="C22" s="5">
        <v>125</v>
      </c>
      <c r="D22" s="5">
        <f t="shared" si="0"/>
        <v>1578</v>
      </c>
      <c r="E22" s="5">
        <v>839</v>
      </c>
      <c r="F22" s="5">
        <v>98</v>
      </c>
      <c r="G22" s="5">
        <f t="shared" si="1"/>
        <v>741</v>
      </c>
      <c r="H22" s="5">
        <v>229</v>
      </c>
      <c r="I22" s="5">
        <v>0</v>
      </c>
      <c r="J22" s="6">
        <f t="shared" si="2"/>
        <v>30.904183535762481</v>
      </c>
      <c r="K22" s="5">
        <v>208</v>
      </c>
      <c r="L22" s="5">
        <f>122</f>
        <v>122</v>
      </c>
      <c r="M22" s="5">
        <v>10</v>
      </c>
      <c r="N22" s="5">
        <f t="shared" si="10"/>
        <v>132</v>
      </c>
      <c r="O22" s="5">
        <f t="shared" si="3"/>
        <v>340</v>
      </c>
      <c r="P22" s="5">
        <v>172</v>
      </c>
      <c r="Q22" s="7">
        <f t="shared" si="4"/>
        <v>28.07017543859649</v>
      </c>
      <c r="R22" s="7">
        <f t="shared" si="5"/>
        <v>45.883940620782724</v>
      </c>
      <c r="S22" s="7">
        <f t="shared" si="6"/>
        <v>66.40625</v>
      </c>
    </row>
    <row r="23" spans="1:19" x14ac:dyDescent="0.2">
      <c r="A23" s="4">
        <v>38260</v>
      </c>
      <c r="B23" s="5">
        <v>2116</v>
      </c>
      <c r="C23" s="5">
        <v>155</v>
      </c>
      <c r="D23" s="5">
        <f t="shared" si="0"/>
        <v>1961</v>
      </c>
      <c r="E23" s="5">
        <v>1165</v>
      </c>
      <c r="F23" s="5">
        <v>154</v>
      </c>
      <c r="G23" s="5">
        <f t="shared" si="1"/>
        <v>1011</v>
      </c>
      <c r="H23" s="5">
        <v>359</v>
      </c>
      <c r="I23" s="5">
        <v>0</v>
      </c>
      <c r="J23" s="6">
        <f t="shared" si="2"/>
        <v>35.509396636993074</v>
      </c>
      <c r="K23" s="5">
        <v>188</v>
      </c>
      <c r="L23" s="5">
        <f>134</f>
        <v>134</v>
      </c>
      <c r="M23" s="5">
        <v>10</v>
      </c>
      <c r="N23" s="5">
        <f t="shared" si="10"/>
        <v>144</v>
      </c>
      <c r="O23" s="5">
        <f t="shared" si="3"/>
        <v>332</v>
      </c>
      <c r="P23" s="5">
        <v>320</v>
      </c>
      <c r="Q23" s="7">
        <f t="shared" si="4"/>
        <v>18.595450049455984</v>
      </c>
      <c r="R23" s="7">
        <f t="shared" si="5"/>
        <v>32.838773491592484</v>
      </c>
      <c r="S23" s="7">
        <f t="shared" si="6"/>
        <v>50.920245398772998</v>
      </c>
    </row>
    <row r="24" spans="1:19" x14ac:dyDescent="0.2">
      <c r="A24" s="4">
        <v>38291</v>
      </c>
      <c r="B24" s="5">
        <v>2056</v>
      </c>
      <c r="C24" s="5">
        <v>135</v>
      </c>
      <c r="D24" s="5">
        <f t="shared" si="0"/>
        <v>1921</v>
      </c>
      <c r="E24" s="5">
        <v>1112</v>
      </c>
      <c r="F24" s="5">
        <v>122</v>
      </c>
      <c r="G24" s="5">
        <f t="shared" si="1"/>
        <v>990</v>
      </c>
      <c r="H24" s="5">
        <v>311</v>
      </c>
      <c r="I24" s="5">
        <v>0</v>
      </c>
      <c r="J24" s="6">
        <f t="shared" si="2"/>
        <v>31.414141414141415</v>
      </c>
      <c r="K24" s="5">
        <v>170</v>
      </c>
      <c r="L24" s="5">
        <f>196</f>
        <v>196</v>
      </c>
      <c r="M24" s="5">
        <v>5</v>
      </c>
      <c r="N24" s="5">
        <f t="shared" si="10"/>
        <v>201</v>
      </c>
      <c r="O24" s="5">
        <f t="shared" si="3"/>
        <v>371</v>
      </c>
      <c r="P24" s="5">
        <v>308</v>
      </c>
      <c r="Q24" s="7">
        <f t="shared" si="4"/>
        <v>17.171717171717169</v>
      </c>
      <c r="R24" s="7">
        <f t="shared" si="5"/>
        <v>37.474747474747474</v>
      </c>
      <c r="S24" s="7">
        <f t="shared" si="6"/>
        <v>54.639175257731956</v>
      </c>
    </row>
    <row r="25" spans="1:19" x14ac:dyDescent="0.2">
      <c r="A25" s="4">
        <v>38321</v>
      </c>
      <c r="B25" s="5">
        <v>2083</v>
      </c>
      <c r="C25" s="5">
        <v>105</v>
      </c>
      <c r="D25" s="5">
        <f t="shared" si="0"/>
        <v>1978</v>
      </c>
      <c r="E25" s="5">
        <v>1158</v>
      </c>
      <c r="F25" s="5">
        <v>98</v>
      </c>
      <c r="G25" s="5">
        <f t="shared" si="1"/>
        <v>1060</v>
      </c>
      <c r="H25" s="5">
        <v>418</v>
      </c>
      <c r="I25" s="5">
        <v>0</v>
      </c>
      <c r="J25" s="6">
        <f t="shared" si="2"/>
        <v>39.433962264150949</v>
      </c>
      <c r="K25" s="5">
        <v>198</v>
      </c>
      <c r="L25" s="5">
        <f>157</f>
        <v>157</v>
      </c>
      <c r="M25" s="5">
        <v>13</v>
      </c>
      <c r="N25" s="5">
        <f t="shared" si="10"/>
        <v>170</v>
      </c>
      <c r="O25" s="5">
        <f t="shared" si="3"/>
        <v>368</v>
      </c>
      <c r="P25" s="5">
        <v>274</v>
      </c>
      <c r="Q25" s="7">
        <f t="shared" si="4"/>
        <v>18.679245283018865</v>
      </c>
      <c r="R25" s="7">
        <f t="shared" si="5"/>
        <v>34.716981132075468</v>
      </c>
      <c r="S25" s="7">
        <f t="shared" si="6"/>
        <v>57.320872274143298</v>
      </c>
    </row>
    <row r="26" spans="1:19" x14ac:dyDescent="0.2">
      <c r="A26" s="8">
        <v>38352</v>
      </c>
      <c r="B26" s="9">
        <v>2267</v>
      </c>
      <c r="C26" s="9">
        <v>140</v>
      </c>
      <c r="D26" s="9">
        <f t="shared" si="0"/>
        <v>2127</v>
      </c>
      <c r="E26" s="9">
        <v>1032</v>
      </c>
      <c r="F26" s="9">
        <v>118</v>
      </c>
      <c r="G26" s="9">
        <f t="shared" si="1"/>
        <v>914</v>
      </c>
      <c r="H26" s="9">
        <v>378</v>
      </c>
      <c r="I26" s="9">
        <v>2</v>
      </c>
      <c r="J26" s="10">
        <f t="shared" si="2"/>
        <v>41.356673960612689</v>
      </c>
      <c r="K26" s="9">
        <v>152</v>
      </c>
      <c r="L26" s="9">
        <v>135</v>
      </c>
      <c r="M26" s="9">
        <v>0</v>
      </c>
      <c r="N26" s="9">
        <f t="shared" si="10"/>
        <v>135</v>
      </c>
      <c r="O26" s="9">
        <f t="shared" si="3"/>
        <v>287</v>
      </c>
      <c r="P26" s="9">
        <v>249</v>
      </c>
      <c r="Q26" s="11">
        <f t="shared" si="4"/>
        <v>16.630196936542667</v>
      </c>
      <c r="R26" s="11">
        <f t="shared" si="5"/>
        <v>31.400437636761485</v>
      </c>
      <c r="S26" s="11">
        <f t="shared" si="6"/>
        <v>53.544776119402982</v>
      </c>
    </row>
    <row r="27" spans="1:19" x14ac:dyDescent="0.2">
      <c r="A27" s="8">
        <v>38383</v>
      </c>
      <c r="B27" s="9">
        <v>1363</v>
      </c>
      <c r="C27" s="9">
        <v>100</v>
      </c>
      <c r="D27" s="9">
        <f t="shared" si="0"/>
        <v>1263</v>
      </c>
      <c r="E27" s="9">
        <v>1208</v>
      </c>
      <c r="F27" s="9">
        <v>113</v>
      </c>
      <c r="G27" s="9">
        <f t="shared" si="1"/>
        <v>1095</v>
      </c>
      <c r="H27" s="9">
        <v>482</v>
      </c>
      <c r="I27" s="9">
        <v>114</v>
      </c>
      <c r="J27" s="10">
        <f t="shared" si="2"/>
        <v>44.018264840182646</v>
      </c>
      <c r="K27" s="9">
        <v>137</v>
      </c>
      <c r="L27" s="9">
        <f>166</f>
        <v>166</v>
      </c>
      <c r="M27" s="9">
        <v>5</v>
      </c>
      <c r="N27" s="9">
        <f t="shared" si="10"/>
        <v>171</v>
      </c>
      <c r="O27" s="9">
        <f t="shared" si="3"/>
        <v>308</v>
      </c>
      <c r="P27" s="9">
        <v>305</v>
      </c>
      <c r="Q27" s="11">
        <f t="shared" si="4"/>
        <v>12.511415525114156</v>
      </c>
      <c r="R27" s="11">
        <f t="shared" si="5"/>
        <v>28.127853881278536</v>
      </c>
      <c r="S27" s="11">
        <f t="shared" si="6"/>
        <v>50.244698205546491</v>
      </c>
    </row>
    <row r="28" spans="1:19" x14ac:dyDescent="0.2">
      <c r="A28" s="8">
        <v>38411</v>
      </c>
      <c r="B28" s="9">
        <v>1308</v>
      </c>
      <c r="C28" s="9">
        <v>134</v>
      </c>
      <c r="D28" s="9">
        <f t="shared" si="0"/>
        <v>1174</v>
      </c>
      <c r="E28" s="9">
        <v>1424</v>
      </c>
      <c r="F28" s="9">
        <v>103</v>
      </c>
      <c r="G28" s="9">
        <f t="shared" si="1"/>
        <v>1321</v>
      </c>
      <c r="H28" s="9">
        <v>671</v>
      </c>
      <c r="I28" s="9">
        <v>209</v>
      </c>
      <c r="J28" s="10">
        <f t="shared" si="2"/>
        <v>50.794852384557153</v>
      </c>
      <c r="K28" s="9">
        <v>195</v>
      </c>
      <c r="L28" s="9">
        <f>196</f>
        <v>196</v>
      </c>
      <c r="M28" s="9">
        <v>4</v>
      </c>
      <c r="N28" s="9">
        <f t="shared" si="10"/>
        <v>200</v>
      </c>
      <c r="O28" s="9">
        <f t="shared" si="3"/>
        <v>395</v>
      </c>
      <c r="P28" s="9">
        <v>255</v>
      </c>
      <c r="Q28" s="11">
        <f t="shared" si="4"/>
        <v>14.761544284632855</v>
      </c>
      <c r="R28" s="11">
        <f t="shared" si="5"/>
        <v>29.901589704769115</v>
      </c>
      <c r="S28" s="11">
        <f t="shared" si="6"/>
        <v>60.769230769230766</v>
      </c>
    </row>
    <row r="29" spans="1:19" x14ac:dyDescent="0.2">
      <c r="A29" s="8">
        <v>38442</v>
      </c>
      <c r="B29" s="9">
        <v>1201</v>
      </c>
      <c r="C29" s="9">
        <v>121</v>
      </c>
      <c r="D29" s="9">
        <f t="shared" si="0"/>
        <v>1080</v>
      </c>
      <c r="E29" s="9">
        <v>1079</v>
      </c>
      <c r="F29" s="9">
        <v>82</v>
      </c>
      <c r="G29" s="9">
        <f t="shared" si="1"/>
        <v>997</v>
      </c>
      <c r="H29" s="9">
        <v>437</v>
      </c>
      <c r="I29" s="9">
        <v>89</v>
      </c>
      <c r="J29" s="10">
        <f t="shared" si="2"/>
        <v>43.831494483450349</v>
      </c>
      <c r="K29" s="9">
        <v>159</v>
      </c>
      <c r="L29" s="9">
        <f>175</f>
        <v>175</v>
      </c>
      <c r="M29" s="9">
        <v>7</v>
      </c>
      <c r="N29" s="9">
        <f t="shared" si="10"/>
        <v>182</v>
      </c>
      <c r="O29" s="9">
        <f t="shared" si="3"/>
        <v>341</v>
      </c>
      <c r="P29" s="9">
        <v>219</v>
      </c>
      <c r="Q29" s="11">
        <f t="shared" si="4"/>
        <v>15.947843530591776</v>
      </c>
      <c r="R29" s="11">
        <f t="shared" si="5"/>
        <v>34.202607823470409</v>
      </c>
      <c r="S29" s="11">
        <f t="shared" si="6"/>
        <v>60.892857142857139</v>
      </c>
    </row>
    <row r="30" spans="1:19" x14ac:dyDescent="0.2">
      <c r="A30" s="8">
        <v>38472</v>
      </c>
      <c r="B30" s="9">
        <v>1067</v>
      </c>
      <c r="C30" s="9">
        <v>110</v>
      </c>
      <c r="D30" s="9">
        <f t="shared" si="0"/>
        <v>957</v>
      </c>
      <c r="E30" s="9">
        <v>1461</v>
      </c>
      <c r="F30" s="9">
        <v>74</v>
      </c>
      <c r="G30" s="9">
        <f t="shared" si="1"/>
        <v>1387</v>
      </c>
      <c r="H30" s="9">
        <v>676</v>
      </c>
      <c r="I30" s="9">
        <v>285</v>
      </c>
      <c r="J30" s="10">
        <f t="shared" si="2"/>
        <v>48.738284066330209</v>
      </c>
      <c r="K30" s="9">
        <v>215</v>
      </c>
      <c r="L30" s="9">
        <f>168</f>
        <v>168</v>
      </c>
      <c r="M30" s="9">
        <v>6</v>
      </c>
      <c r="N30" s="9">
        <f t="shared" si="10"/>
        <v>174</v>
      </c>
      <c r="O30" s="9">
        <f t="shared" si="3"/>
        <v>389</v>
      </c>
      <c r="P30" s="9">
        <v>322</v>
      </c>
      <c r="Q30" s="11">
        <f t="shared" si="4"/>
        <v>15.501081470800287</v>
      </c>
      <c r="R30" s="11">
        <f t="shared" si="5"/>
        <v>28.046142754145638</v>
      </c>
      <c r="S30" s="11">
        <f t="shared" si="6"/>
        <v>54.711673699015471</v>
      </c>
    </row>
    <row r="31" spans="1:19" x14ac:dyDescent="0.2">
      <c r="A31" s="8">
        <v>38503</v>
      </c>
      <c r="B31" s="9">
        <v>1186</v>
      </c>
      <c r="C31" s="9">
        <v>121</v>
      </c>
      <c r="D31" s="9">
        <f t="shared" si="0"/>
        <v>1065</v>
      </c>
      <c r="E31" s="9">
        <v>1665</v>
      </c>
      <c r="F31" s="9">
        <v>107</v>
      </c>
      <c r="G31" s="9">
        <f t="shared" si="1"/>
        <v>1558</v>
      </c>
      <c r="H31" s="9">
        <v>854</v>
      </c>
      <c r="I31" s="9">
        <v>468</v>
      </c>
      <c r="J31" s="10">
        <f t="shared" si="2"/>
        <v>54.813863928112958</v>
      </c>
      <c r="K31" s="9">
        <v>247</v>
      </c>
      <c r="L31" s="9">
        <f>232</f>
        <v>232</v>
      </c>
      <c r="M31" s="9">
        <v>8</v>
      </c>
      <c r="N31" s="9">
        <f t="shared" si="10"/>
        <v>240</v>
      </c>
      <c r="O31" s="9">
        <f t="shared" si="3"/>
        <v>487</v>
      </c>
      <c r="P31" s="9">
        <v>217</v>
      </c>
      <c r="Q31" s="11">
        <f t="shared" si="4"/>
        <v>15.853658536585366</v>
      </c>
      <c r="R31" s="11">
        <f t="shared" si="5"/>
        <v>31.258023106546855</v>
      </c>
      <c r="S31" s="11">
        <f t="shared" si="6"/>
        <v>69.17613636363636</v>
      </c>
    </row>
    <row r="32" spans="1:19" x14ac:dyDescent="0.2">
      <c r="A32" s="8">
        <v>38533</v>
      </c>
      <c r="B32" s="9">
        <v>1283</v>
      </c>
      <c r="C32" s="9">
        <v>119</v>
      </c>
      <c r="D32" s="9">
        <f t="shared" si="0"/>
        <v>1164</v>
      </c>
      <c r="E32" s="9">
        <v>1592</v>
      </c>
      <c r="F32" s="9">
        <v>108</v>
      </c>
      <c r="G32" s="9">
        <f t="shared" si="1"/>
        <v>1484</v>
      </c>
      <c r="H32" s="9">
        <v>719</v>
      </c>
      <c r="I32" s="9">
        <v>404</v>
      </c>
      <c r="J32" s="10">
        <f t="shared" si="2"/>
        <v>48.450134770889484</v>
      </c>
      <c r="K32" s="9">
        <v>267</v>
      </c>
      <c r="L32" s="9">
        <f>268</f>
        <v>268</v>
      </c>
      <c r="M32" s="9">
        <v>6</v>
      </c>
      <c r="N32" s="9">
        <f t="shared" si="10"/>
        <v>274</v>
      </c>
      <c r="O32" s="9">
        <f t="shared" si="3"/>
        <v>541</v>
      </c>
      <c r="P32" s="9">
        <v>224</v>
      </c>
      <c r="Q32" s="11">
        <f t="shared" si="4"/>
        <v>17.991913746630729</v>
      </c>
      <c r="R32" s="11">
        <f t="shared" si="5"/>
        <v>36.455525606469003</v>
      </c>
      <c r="S32" s="11">
        <f t="shared" si="6"/>
        <v>70.718954248366018</v>
      </c>
    </row>
    <row r="33" spans="1:19" x14ac:dyDescent="0.2">
      <c r="A33" s="8">
        <v>38564</v>
      </c>
      <c r="B33" s="9">
        <v>1233</v>
      </c>
      <c r="C33" s="9">
        <v>131</v>
      </c>
      <c r="D33" s="9">
        <f t="shared" si="0"/>
        <v>1102</v>
      </c>
      <c r="E33" s="9">
        <v>1566</v>
      </c>
      <c r="F33" s="9">
        <v>129</v>
      </c>
      <c r="G33" s="9">
        <f t="shared" si="1"/>
        <v>1437</v>
      </c>
      <c r="H33" s="9">
        <v>655</v>
      </c>
      <c r="I33" s="9">
        <v>321</v>
      </c>
      <c r="J33" s="10">
        <f t="shared" si="2"/>
        <v>45.581071677105079</v>
      </c>
      <c r="K33" s="9">
        <v>211</v>
      </c>
      <c r="L33" s="9">
        <f>291</f>
        <v>291</v>
      </c>
      <c r="M33" s="9">
        <v>8</v>
      </c>
      <c r="N33" s="9">
        <f t="shared" si="10"/>
        <v>299</v>
      </c>
      <c r="O33" s="9">
        <f t="shared" si="3"/>
        <v>510</v>
      </c>
      <c r="P33" s="9">
        <v>272</v>
      </c>
      <c r="Q33" s="11">
        <f t="shared" si="4"/>
        <v>14.683368128044538</v>
      </c>
      <c r="R33" s="11">
        <f t="shared" si="5"/>
        <v>35.490605427974948</v>
      </c>
      <c r="S33" s="11">
        <f t="shared" si="6"/>
        <v>65.217391304347828</v>
      </c>
    </row>
    <row r="34" spans="1:19" x14ac:dyDescent="0.2">
      <c r="A34" s="8">
        <v>38595</v>
      </c>
      <c r="B34" s="9">
        <v>1228</v>
      </c>
      <c r="C34" s="9">
        <v>115</v>
      </c>
      <c r="D34" s="9">
        <f t="shared" si="0"/>
        <v>1113</v>
      </c>
      <c r="E34" s="9">
        <v>1412</v>
      </c>
      <c r="F34" s="9">
        <v>93</v>
      </c>
      <c r="G34" s="9">
        <f t="shared" si="1"/>
        <v>1319</v>
      </c>
      <c r="H34" s="9">
        <v>651</v>
      </c>
      <c r="I34" s="9">
        <v>360</v>
      </c>
      <c r="J34" s="10">
        <f t="shared" si="2"/>
        <v>49.355572403335863</v>
      </c>
      <c r="K34" s="9">
        <v>210</v>
      </c>
      <c r="L34" s="9">
        <f>238</f>
        <v>238</v>
      </c>
      <c r="M34" s="9">
        <v>12</v>
      </c>
      <c r="N34" s="9">
        <f t="shared" si="10"/>
        <v>250</v>
      </c>
      <c r="O34" s="9">
        <f t="shared" si="3"/>
        <v>460</v>
      </c>
      <c r="P34" s="9">
        <v>208</v>
      </c>
      <c r="Q34" s="11">
        <f t="shared" si="4"/>
        <v>15.921152388172857</v>
      </c>
      <c r="R34" s="11">
        <f t="shared" ref="R34:R65" si="11">(O34/G34)*100</f>
        <v>34.874905231235786</v>
      </c>
      <c r="S34" s="11">
        <f t="shared" si="6"/>
        <v>68.862275449101801</v>
      </c>
    </row>
    <row r="35" spans="1:19" x14ac:dyDescent="0.2">
      <c r="A35" s="8">
        <v>38625</v>
      </c>
      <c r="B35" s="9">
        <v>1311</v>
      </c>
      <c r="C35" s="9">
        <v>149</v>
      </c>
      <c r="D35" s="9">
        <f t="shared" si="0"/>
        <v>1162</v>
      </c>
      <c r="E35" s="9">
        <v>1482</v>
      </c>
      <c r="F35" s="9">
        <v>126</v>
      </c>
      <c r="G35" s="9">
        <f t="shared" si="1"/>
        <v>1356</v>
      </c>
      <c r="H35" s="9">
        <v>555</v>
      </c>
      <c r="I35" s="9">
        <v>269</v>
      </c>
      <c r="J35" s="10">
        <f t="shared" si="2"/>
        <v>40.929203539823014</v>
      </c>
      <c r="K35" s="9">
        <v>240</v>
      </c>
      <c r="L35" s="9">
        <f>344</f>
        <v>344</v>
      </c>
      <c r="M35" s="9">
        <v>16</v>
      </c>
      <c r="N35" s="9">
        <f t="shared" si="10"/>
        <v>360</v>
      </c>
      <c r="O35" s="9">
        <f t="shared" si="3"/>
        <v>600</v>
      </c>
      <c r="P35" s="9">
        <v>201</v>
      </c>
      <c r="Q35" s="11">
        <f t="shared" si="4"/>
        <v>17.699115044247787</v>
      </c>
      <c r="R35" s="11">
        <f t="shared" si="11"/>
        <v>44.247787610619469</v>
      </c>
      <c r="S35" s="11">
        <f t="shared" si="6"/>
        <v>74.906367041198507</v>
      </c>
    </row>
    <row r="36" spans="1:19" x14ac:dyDescent="0.2">
      <c r="A36" s="8">
        <v>38656</v>
      </c>
      <c r="B36" s="9">
        <v>1353</v>
      </c>
      <c r="C36" s="9">
        <v>112</v>
      </c>
      <c r="D36" s="9">
        <f t="shared" si="0"/>
        <v>1241</v>
      </c>
      <c r="E36" s="9">
        <v>1625</v>
      </c>
      <c r="F36" s="9">
        <v>118</v>
      </c>
      <c r="G36" s="9">
        <f t="shared" si="1"/>
        <v>1507</v>
      </c>
      <c r="H36" s="9">
        <v>650</v>
      </c>
      <c r="I36" s="9">
        <v>377</v>
      </c>
      <c r="J36" s="10">
        <f t="shared" si="2"/>
        <v>43.132050431320508</v>
      </c>
      <c r="K36" s="9">
        <v>281</v>
      </c>
      <c r="L36" s="9">
        <f>331</f>
        <v>331</v>
      </c>
      <c r="M36" s="9">
        <v>12</v>
      </c>
      <c r="N36" s="9">
        <f t="shared" si="10"/>
        <v>343</v>
      </c>
      <c r="O36" s="9">
        <f t="shared" si="3"/>
        <v>624</v>
      </c>
      <c r="P36" s="9">
        <v>233</v>
      </c>
      <c r="Q36" s="11">
        <f t="shared" si="4"/>
        <v>18.646317186463172</v>
      </c>
      <c r="R36" s="11">
        <f t="shared" si="11"/>
        <v>41.406768414067685</v>
      </c>
      <c r="S36" s="11">
        <f t="shared" si="6"/>
        <v>72.81213535589265</v>
      </c>
    </row>
    <row r="37" spans="1:19" x14ac:dyDescent="0.2">
      <c r="A37" s="8">
        <v>38686</v>
      </c>
      <c r="B37" s="9">
        <v>1205</v>
      </c>
      <c r="C37" s="9">
        <v>161</v>
      </c>
      <c r="D37" s="9">
        <f t="shared" si="0"/>
        <v>1044</v>
      </c>
      <c r="E37" s="9">
        <v>1780</v>
      </c>
      <c r="F37" s="9">
        <v>105</v>
      </c>
      <c r="G37" s="9">
        <f t="shared" si="1"/>
        <v>1675</v>
      </c>
      <c r="H37" s="9">
        <v>851</v>
      </c>
      <c r="I37" s="9">
        <v>588</v>
      </c>
      <c r="J37" s="10">
        <f t="shared" si="2"/>
        <v>50.805970149253731</v>
      </c>
      <c r="K37" s="9">
        <v>308</v>
      </c>
      <c r="L37" s="9">
        <f>318</f>
        <v>318</v>
      </c>
      <c r="M37" s="9">
        <v>10</v>
      </c>
      <c r="N37" s="9">
        <f t="shared" si="10"/>
        <v>328</v>
      </c>
      <c r="O37" s="9">
        <f t="shared" si="3"/>
        <v>636</v>
      </c>
      <c r="P37" s="9">
        <v>188</v>
      </c>
      <c r="Q37" s="11">
        <f t="shared" si="4"/>
        <v>18.388059701492537</v>
      </c>
      <c r="R37" s="11">
        <f t="shared" si="11"/>
        <v>37.970149253731343</v>
      </c>
      <c r="S37" s="11">
        <f t="shared" si="6"/>
        <v>77.184466019417471</v>
      </c>
    </row>
    <row r="38" spans="1:19" x14ac:dyDescent="0.2">
      <c r="A38" s="4">
        <v>38717</v>
      </c>
      <c r="B38" s="5">
        <v>1204</v>
      </c>
      <c r="C38" s="5">
        <v>121</v>
      </c>
      <c r="D38" s="5">
        <f t="shared" si="0"/>
        <v>1083</v>
      </c>
      <c r="E38" s="5">
        <v>2065</v>
      </c>
      <c r="F38" s="5">
        <v>102</v>
      </c>
      <c r="G38" s="5">
        <f t="shared" si="1"/>
        <v>1963</v>
      </c>
      <c r="H38" s="5">
        <v>955</v>
      </c>
      <c r="I38" s="5">
        <v>690</v>
      </c>
      <c r="J38" s="6">
        <f t="shared" si="2"/>
        <v>48.650025471217525</v>
      </c>
      <c r="K38" s="5">
        <v>327</v>
      </c>
      <c r="L38" s="5">
        <f>433</f>
        <v>433</v>
      </c>
      <c r="M38" s="5">
        <v>11</v>
      </c>
      <c r="N38" s="5">
        <f t="shared" si="10"/>
        <v>444</v>
      </c>
      <c r="O38" s="5">
        <f t="shared" si="3"/>
        <v>771</v>
      </c>
      <c r="P38" s="5">
        <v>237</v>
      </c>
      <c r="Q38" s="7">
        <f t="shared" si="4"/>
        <v>16.658176260825268</v>
      </c>
      <c r="R38" s="7">
        <f t="shared" si="11"/>
        <v>39.276617422312789</v>
      </c>
      <c r="S38" s="7">
        <f t="shared" si="6"/>
        <v>76.488095238095227</v>
      </c>
    </row>
    <row r="39" spans="1:19" x14ac:dyDescent="0.2">
      <c r="A39" s="4">
        <v>38748</v>
      </c>
      <c r="B39" s="5">
        <v>1176</v>
      </c>
      <c r="C39" s="5">
        <v>148</v>
      </c>
      <c r="D39" s="5">
        <f t="shared" si="0"/>
        <v>1028</v>
      </c>
      <c r="E39" s="5">
        <v>1839</v>
      </c>
      <c r="F39" s="5">
        <v>150</v>
      </c>
      <c r="G39" s="5">
        <f t="shared" si="1"/>
        <v>1689</v>
      </c>
      <c r="H39" s="5">
        <v>493</v>
      </c>
      <c r="I39" s="5">
        <v>243</v>
      </c>
      <c r="J39" s="6">
        <f t="shared" si="2"/>
        <v>29.188869153345177</v>
      </c>
      <c r="K39" s="5">
        <v>405</v>
      </c>
      <c r="L39" s="5">
        <f>535</f>
        <v>535</v>
      </c>
      <c r="M39" s="5">
        <v>7</v>
      </c>
      <c r="N39" s="5">
        <f t="shared" si="10"/>
        <v>542</v>
      </c>
      <c r="O39" s="5">
        <f t="shared" si="3"/>
        <v>947</v>
      </c>
      <c r="P39" s="5">
        <v>249</v>
      </c>
      <c r="Q39" s="7">
        <f t="shared" si="4"/>
        <v>23.978685612788635</v>
      </c>
      <c r="R39" s="7">
        <f t="shared" si="11"/>
        <v>56.068679692125521</v>
      </c>
      <c r="S39" s="7">
        <f t="shared" si="6"/>
        <v>79.180602006688957</v>
      </c>
    </row>
    <row r="40" spans="1:19" x14ac:dyDescent="0.2">
      <c r="A40" s="4">
        <v>38776</v>
      </c>
      <c r="B40" s="5">
        <v>1320</v>
      </c>
      <c r="C40" s="5">
        <v>148</v>
      </c>
      <c r="D40" s="5">
        <f t="shared" si="0"/>
        <v>1172</v>
      </c>
      <c r="E40" s="5">
        <v>3171</v>
      </c>
      <c r="F40" s="5">
        <v>145</v>
      </c>
      <c r="G40" s="5">
        <f t="shared" si="1"/>
        <v>3026</v>
      </c>
      <c r="H40" s="5">
        <v>1782</v>
      </c>
      <c r="I40" s="5">
        <v>1502</v>
      </c>
      <c r="J40" s="6">
        <f t="shared" si="2"/>
        <v>58.889623265036349</v>
      </c>
      <c r="K40" s="5">
        <v>413</v>
      </c>
      <c r="L40" s="5">
        <f>517</f>
        <v>517</v>
      </c>
      <c r="M40" s="5">
        <v>15</v>
      </c>
      <c r="N40" s="5">
        <f t="shared" si="10"/>
        <v>532</v>
      </c>
      <c r="O40" s="5">
        <f t="shared" si="3"/>
        <v>945</v>
      </c>
      <c r="P40" s="5">
        <v>299</v>
      </c>
      <c r="Q40" s="7">
        <f t="shared" si="4"/>
        <v>13.648380700594846</v>
      </c>
      <c r="R40" s="7">
        <f t="shared" si="11"/>
        <v>31.229345670852609</v>
      </c>
      <c r="S40" s="7">
        <f t="shared" si="6"/>
        <v>75.964630225080384</v>
      </c>
    </row>
    <row r="41" spans="1:19" x14ac:dyDescent="0.2">
      <c r="A41" s="4">
        <v>38807</v>
      </c>
      <c r="B41" s="5">
        <v>1182</v>
      </c>
      <c r="C41" s="5">
        <v>130</v>
      </c>
      <c r="D41" s="5">
        <f t="shared" si="0"/>
        <v>1052</v>
      </c>
      <c r="E41" s="5">
        <v>1912</v>
      </c>
      <c r="F41" s="5">
        <v>114</v>
      </c>
      <c r="G41" s="5">
        <f t="shared" si="1"/>
        <v>1798</v>
      </c>
      <c r="H41" s="5">
        <v>894</v>
      </c>
      <c r="I41" s="5">
        <v>583</v>
      </c>
      <c r="J41" s="6">
        <f t="shared" si="2"/>
        <v>49.721913236929922</v>
      </c>
      <c r="K41" s="5">
        <v>288</v>
      </c>
      <c r="L41" s="5">
        <f>365</f>
        <v>365</v>
      </c>
      <c r="M41" s="5">
        <v>4</v>
      </c>
      <c r="N41" s="5">
        <f t="shared" si="10"/>
        <v>369</v>
      </c>
      <c r="O41" s="5">
        <f t="shared" si="3"/>
        <v>657</v>
      </c>
      <c r="P41" s="5">
        <v>247</v>
      </c>
      <c r="Q41" s="7">
        <f t="shared" si="4"/>
        <v>16.017797552836484</v>
      </c>
      <c r="R41" s="7">
        <f t="shared" si="11"/>
        <v>36.540600667408228</v>
      </c>
      <c r="S41" s="7">
        <f t="shared" si="6"/>
        <v>72.67699115044249</v>
      </c>
    </row>
    <row r="42" spans="1:19" x14ac:dyDescent="0.2">
      <c r="A42" s="4">
        <v>38837</v>
      </c>
      <c r="B42" s="5">
        <v>1090</v>
      </c>
      <c r="C42" s="5">
        <v>146</v>
      </c>
      <c r="D42" s="5">
        <f t="shared" si="0"/>
        <v>944</v>
      </c>
      <c r="E42" s="5">
        <v>1703</v>
      </c>
      <c r="F42" s="5">
        <v>52</v>
      </c>
      <c r="G42" s="5">
        <f t="shared" si="1"/>
        <v>1651</v>
      </c>
      <c r="H42" s="5">
        <v>625</v>
      </c>
      <c r="I42" s="5">
        <v>351</v>
      </c>
      <c r="J42" s="6">
        <f t="shared" si="2"/>
        <v>37.855844942459115</v>
      </c>
      <c r="K42" s="5">
        <v>372</v>
      </c>
      <c r="L42" s="5">
        <f>415</f>
        <v>415</v>
      </c>
      <c r="M42" s="5">
        <v>4</v>
      </c>
      <c r="N42" s="5">
        <f t="shared" si="10"/>
        <v>419</v>
      </c>
      <c r="O42" s="5">
        <f t="shared" si="3"/>
        <v>791</v>
      </c>
      <c r="P42" s="5">
        <v>235</v>
      </c>
      <c r="Q42" s="7">
        <f t="shared" si="4"/>
        <v>22.531798909751664</v>
      </c>
      <c r="R42" s="7">
        <f t="shared" si="11"/>
        <v>47.91035735917626</v>
      </c>
      <c r="S42" s="7">
        <f t="shared" si="6"/>
        <v>77.095516569200782</v>
      </c>
    </row>
    <row r="43" spans="1:19" x14ac:dyDescent="0.2">
      <c r="A43" s="4">
        <v>38868</v>
      </c>
      <c r="B43" s="5">
        <v>1272</v>
      </c>
      <c r="C43" s="5">
        <v>167</v>
      </c>
      <c r="D43" s="5">
        <f t="shared" si="0"/>
        <v>1105</v>
      </c>
      <c r="E43" s="5">
        <v>1858</v>
      </c>
      <c r="F43" s="5">
        <v>130</v>
      </c>
      <c r="G43" s="5">
        <f t="shared" si="1"/>
        <v>1728</v>
      </c>
      <c r="H43" s="5">
        <v>673</v>
      </c>
      <c r="I43" s="5">
        <v>360</v>
      </c>
      <c r="J43" s="6">
        <f t="shared" si="2"/>
        <v>38.94675925925926</v>
      </c>
      <c r="K43" s="5">
        <v>308</v>
      </c>
      <c r="L43" s="5">
        <f>425</f>
        <v>425</v>
      </c>
      <c r="M43" s="5">
        <v>11</v>
      </c>
      <c r="N43" s="5">
        <f t="shared" si="10"/>
        <v>436</v>
      </c>
      <c r="O43" s="5">
        <f t="shared" si="3"/>
        <v>744</v>
      </c>
      <c r="P43" s="5">
        <v>311</v>
      </c>
      <c r="Q43" s="7">
        <f t="shared" si="4"/>
        <v>17.824074074074073</v>
      </c>
      <c r="R43" s="7">
        <f t="shared" si="11"/>
        <v>43.055555555555557</v>
      </c>
      <c r="S43" s="7">
        <f t="shared" si="6"/>
        <v>70.521327014218002</v>
      </c>
    </row>
    <row r="44" spans="1:19" x14ac:dyDescent="0.2">
      <c r="A44" s="4">
        <v>38898</v>
      </c>
      <c r="B44" s="5">
        <v>1151</v>
      </c>
      <c r="C44" s="5">
        <v>182</v>
      </c>
      <c r="D44" s="5">
        <f t="shared" si="0"/>
        <v>969</v>
      </c>
      <c r="E44" s="5">
        <v>1570</v>
      </c>
      <c r="F44" s="5">
        <v>105</v>
      </c>
      <c r="G44" s="5">
        <f t="shared" si="1"/>
        <v>1465</v>
      </c>
      <c r="H44" s="5">
        <v>743</v>
      </c>
      <c r="I44" s="5">
        <v>528</v>
      </c>
      <c r="J44" s="6">
        <f t="shared" si="2"/>
        <v>50.716723549488052</v>
      </c>
      <c r="K44" s="5">
        <v>242</v>
      </c>
      <c r="L44" s="5">
        <f>279</f>
        <v>279</v>
      </c>
      <c r="M44" s="5">
        <v>7</v>
      </c>
      <c r="N44" s="5">
        <f t="shared" si="10"/>
        <v>286</v>
      </c>
      <c r="O44" s="5">
        <f t="shared" si="3"/>
        <v>528</v>
      </c>
      <c r="P44" s="5">
        <v>194</v>
      </c>
      <c r="Q44" s="7">
        <f t="shared" si="4"/>
        <v>16.518771331058023</v>
      </c>
      <c r="R44" s="7">
        <f t="shared" si="11"/>
        <v>36.040955631399321</v>
      </c>
      <c r="S44" s="7">
        <f t="shared" si="6"/>
        <v>73.13019390581718</v>
      </c>
    </row>
    <row r="45" spans="1:19" x14ac:dyDescent="0.2">
      <c r="A45" s="4">
        <v>38929</v>
      </c>
      <c r="B45" s="5">
        <v>1386</v>
      </c>
      <c r="C45" s="5">
        <v>204</v>
      </c>
      <c r="D45" s="5">
        <f t="shared" si="0"/>
        <v>1182</v>
      </c>
      <c r="E45" s="5">
        <v>1558</v>
      </c>
      <c r="F45" s="5">
        <v>98</v>
      </c>
      <c r="G45" s="5">
        <f t="shared" si="1"/>
        <v>1460</v>
      </c>
      <c r="H45" s="5">
        <v>717</v>
      </c>
      <c r="I45" s="5">
        <v>474</v>
      </c>
      <c r="J45" s="6">
        <f t="shared" si="2"/>
        <v>49.109589041095894</v>
      </c>
      <c r="K45" s="5">
        <v>244</v>
      </c>
      <c r="L45" s="5">
        <f>218</f>
        <v>218</v>
      </c>
      <c r="M45" s="5">
        <v>12</v>
      </c>
      <c r="N45" s="5">
        <f t="shared" si="10"/>
        <v>230</v>
      </c>
      <c r="O45" s="5">
        <f t="shared" si="3"/>
        <v>474</v>
      </c>
      <c r="P45" s="5">
        <v>269</v>
      </c>
      <c r="Q45" s="7">
        <f t="shared" si="4"/>
        <v>16.712328767123289</v>
      </c>
      <c r="R45" s="7">
        <f t="shared" si="11"/>
        <v>32.465753424657535</v>
      </c>
      <c r="S45" s="7">
        <f t="shared" si="6"/>
        <v>63.795423956931366</v>
      </c>
    </row>
    <row r="46" spans="1:19" x14ac:dyDescent="0.2">
      <c r="A46" s="4">
        <v>38960</v>
      </c>
      <c r="B46" s="5">
        <v>1389</v>
      </c>
      <c r="C46" s="5">
        <v>181</v>
      </c>
      <c r="D46" s="5">
        <f t="shared" si="0"/>
        <v>1208</v>
      </c>
      <c r="E46" s="5">
        <v>1297</v>
      </c>
      <c r="F46" s="5">
        <v>94</v>
      </c>
      <c r="G46" s="5">
        <f t="shared" si="1"/>
        <v>1203</v>
      </c>
      <c r="H46" s="5">
        <v>560</v>
      </c>
      <c r="I46" s="5">
        <v>359</v>
      </c>
      <c r="J46" s="6">
        <f t="shared" si="2"/>
        <v>46.550290939318373</v>
      </c>
      <c r="K46" s="5">
        <v>254</v>
      </c>
      <c r="L46" s="5">
        <f>171</f>
        <v>171</v>
      </c>
      <c r="M46" s="5">
        <v>3</v>
      </c>
      <c r="N46" s="5">
        <f t="shared" si="10"/>
        <v>174</v>
      </c>
      <c r="O46" s="5">
        <f t="shared" si="3"/>
        <v>428</v>
      </c>
      <c r="P46" s="5">
        <v>215</v>
      </c>
      <c r="Q46" s="7">
        <f t="shared" si="4"/>
        <v>21.11388196176226</v>
      </c>
      <c r="R46" s="7">
        <f t="shared" si="11"/>
        <v>35.57772236076476</v>
      </c>
      <c r="S46" s="7">
        <f t="shared" si="6"/>
        <v>66.562986003110424</v>
      </c>
    </row>
    <row r="47" spans="1:19" x14ac:dyDescent="0.2">
      <c r="A47" s="4">
        <v>38990</v>
      </c>
      <c r="B47" s="5">
        <v>1391</v>
      </c>
      <c r="C47" s="5">
        <v>160</v>
      </c>
      <c r="D47" s="5">
        <f t="shared" si="0"/>
        <v>1231</v>
      </c>
      <c r="E47" s="5">
        <v>1226</v>
      </c>
      <c r="F47" s="5">
        <v>73</v>
      </c>
      <c r="G47" s="5">
        <f t="shared" si="1"/>
        <v>1153</v>
      </c>
      <c r="H47" s="5">
        <v>636</v>
      </c>
      <c r="I47" s="5">
        <v>462</v>
      </c>
      <c r="J47" s="6">
        <f t="shared" si="2"/>
        <v>55.160450997398094</v>
      </c>
      <c r="K47" s="5">
        <v>238</v>
      </c>
      <c r="L47" s="5">
        <f>142</f>
        <v>142</v>
      </c>
      <c r="M47" s="5">
        <v>17</v>
      </c>
      <c r="N47" s="5">
        <f t="shared" si="10"/>
        <v>159</v>
      </c>
      <c r="O47" s="5">
        <f t="shared" si="3"/>
        <v>397</v>
      </c>
      <c r="P47" s="5">
        <v>120</v>
      </c>
      <c r="Q47" s="7">
        <f t="shared" si="4"/>
        <v>20.641803989592368</v>
      </c>
      <c r="R47" s="7">
        <f t="shared" si="11"/>
        <v>34.431916738941894</v>
      </c>
      <c r="S47" s="7">
        <f t="shared" si="6"/>
        <v>76.789168278529985</v>
      </c>
    </row>
    <row r="48" spans="1:19" x14ac:dyDescent="0.2">
      <c r="A48" s="4">
        <v>39021</v>
      </c>
      <c r="B48" s="5">
        <v>1588</v>
      </c>
      <c r="C48" s="5">
        <v>235</v>
      </c>
      <c r="D48" s="5">
        <f t="shared" si="0"/>
        <v>1353</v>
      </c>
      <c r="E48" s="5">
        <v>1249</v>
      </c>
      <c r="F48" s="5">
        <v>71</v>
      </c>
      <c r="G48" s="5">
        <f t="shared" si="1"/>
        <v>1178</v>
      </c>
      <c r="H48" s="5">
        <v>666</v>
      </c>
      <c r="I48" s="5">
        <v>437</v>
      </c>
      <c r="J48" s="6">
        <f t="shared" si="2"/>
        <v>56.536502546689306</v>
      </c>
      <c r="K48" s="5">
        <v>188</v>
      </c>
      <c r="L48" s="5">
        <f>148</f>
        <v>148</v>
      </c>
      <c r="M48" s="5">
        <v>5</v>
      </c>
      <c r="N48" s="5">
        <f t="shared" si="10"/>
        <v>153</v>
      </c>
      <c r="O48" s="5">
        <f t="shared" si="3"/>
        <v>341</v>
      </c>
      <c r="P48" s="5">
        <v>171</v>
      </c>
      <c r="Q48" s="7">
        <f t="shared" si="4"/>
        <v>15.959252971137522</v>
      </c>
      <c r="R48" s="7">
        <f t="shared" si="11"/>
        <v>28.947368421052634</v>
      </c>
      <c r="S48" s="7">
        <f t="shared" si="6"/>
        <v>66.6015625</v>
      </c>
    </row>
    <row r="49" spans="1:19" x14ac:dyDescent="0.2">
      <c r="A49" s="4">
        <v>39051</v>
      </c>
      <c r="B49" s="5">
        <v>1418</v>
      </c>
      <c r="C49" s="5">
        <v>224</v>
      </c>
      <c r="D49" s="5">
        <f t="shared" si="0"/>
        <v>1194</v>
      </c>
      <c r="E49" s="5">
        <v>1242</v>
      </c>
      <c r="F49" s="5">
        <v>100</v>
      </c>
      <c r="G49" s="5">
        <f t="shared" si="1"/>
        <v>1142</v>
      </c>
      <c r="H49" s="5">
        <v>619</v>
      </c>
      <c r="I49" s="5">
        <v>404</v>
      </c>
      <c r="J49" s="6">
        <f t="shared" si="2"/>
        <v>54.203152364273201</v>
      </c>
      <c r="K49" s="5">
        <v>170</v>
      </c>
      <c r="L49" s="5">
        <f>137</f>
        <v>137</v>
      </c>
      <c r="M49" s="5">
        <v>7</v>
      </c>
      <c r="N49" s="5">
        <f t="shared" si="10"/>
        <v>144</v>
      </c>
      <c r="O49" s="5">
        <f t="shared" si="3"/>
        <v>314</v>
      </c>
      <c r="P49" s="5">
        <v>209</v>
      </c>
      <c r="Q49" s="7">
        <f t="shared" si="4"/>
        <v>14.886164623467602</v>
      </c>
      <c r="R49" s="7">
        <f t="shared" si="11"/>
        <v>27.495621716287218</v>
      </c>
      <c r="S49" s="7">
        <f t="shared" si="6"/>
        <v>60.038240917782026</v>
      </c>
    </row>
    <row r="50" spans="1:19" x14ac:dyDescent="0.2">
      <c r="A50" s="8">
        <v>39082</v>
      </c>
      <c r="B50" s="9">
        <v>1235</v>
      </c>
      <c r="C50" s="9">
        <v>177</v>
      </c>
      <c r="D50" s="9">
        <f t="shared" si="0"/>
        <v>1058</v>
      </c>
      <c r="E50" s="9">
        <v>1263</v>
      </c>
      <c r="F50" s="9">
        <v>74</v>
      </c>
      <c r="G50" s="9">
        <f t="shared" si="1"/>
        <v>1189</v>
      </c>
      <c r="H50" s="9">
        <v>622</v>
      </c>
      <c r="I50" s="9">
        <v>406</v>
      </c>
      <c r="J50" s="10">
        <f t="shared" si="2"/>
        <v>52.312867956265777</v>
      </c>
      <c r="K50" s="9">
        <v>220</v>
      </c>
      <c r="L50" s="9">
        <f>133</f>
        <v>133</v>
      </c>
      <c r="M50" s="9">
        <v>10</v>
      </c>
      <c r="N50" s="9">
        <f t="shared" si="10"/>
        <v>143</v>
      </c>
      <c r="O50" s="9">
        <f t="shared" si="3"/>
        <v>363</v>
      </c>
      <c r="P50" s="9">
        <v>204</v>
      </c>
      <c r="Q50" s="11">
        <f t="shared" si="4"/>
        <v>18.502943650126156</v>
      </c>
      <c r="R50" s="11">
        <f t="shared" si="11"/>
        <v>30.529857022708157</v>
      </c>
      <c r="S50" s="11">
        <f t="shared" si="6"/>
        <v>64.021164021164026</v>
      </c>
    </row>
    <row r="51" spans="1:19" x14ac:dyDescent="0.2">
      <c r="A51" s="8">
        <v>39113</v>
      </c>
      <c r="B51" s="9">
        <v>1262</v>
      </c>
      <c r="C51" s="9">
        <v>200</v>
      </c>
      <c r="D51" s="9">
        <f t="shared" si="0"/>
        <v>1062</v>
      </c>
      <c r="E51" s="9">
        <v>1238</v>
      </c>
      <c r="F51" s="9">
        <v>72</v>
      </c>
      <c r="G51" s="9">
        <f t="shared" si="1"/>
        <v>1166</v>
      </c>
      <c r="H51" s="9">
        <v>625</v>
      </c>
      <c r="I51" s="9">
        <v>437</v>
      </c>
      <c r="J51" s="10">
        <f t="shared" si="2"/>
        <v>53.60205831903945</v>
      </c>
      <c r="K51" s="9">
        <v>232</v>
      </c>
      <c r="L51" s="9">
        <f>158</f>
        <v>158</v>
      </c>
      <c r="M51" s="9">
        <v>6</v>
      </c>
      <c r="N51" s="9">
        <f t="shared" si="10"/>
        <v>164</v>
      </c>
      <c r="O51" s="9">
        <f t="shared" si="3"/>
        <v>396</v>
      </c>
      <c r="P51" s="9">
        <v>145</v>
      </c>
      <c r="Q51" s="11">
        <f t="shared" si="4"/>
        <v>19.897084048027445</v>
      </c>
      <c r="R51" s="11">
        <f t="shared" si="11"/>
        <v>33.962264150943398</v>
      </c>
      <c r="S51" s="11">
        <f t="shared" si="6"/>
        <v>73.197781885397418</v>
      </c>
    </row>
    <row r="52" spans="1:19" x14ac:dyDescent="0.2">
      <c r="A52" s="8">
        <v>39141</v>
      </c>
      <c r="B52" s="9">
        <v>1874</v>
      </c>
      <c r="C52" s="9">
        <v>272</v>
      </c>
      <c r="D52" s="9">
        <f t="shared" si="0"/>
        <v>1602</v>
      </c>
      <c r="E52" s="9">
        <v>1610</v>
      </c>
      <c r="F52" s="9">
        <v>133</v>
      </c>
      <c r="G52" s="9">
        <f t="shared" si="1"/>
        <v>1477</v>
      </c>
      <c r="H52" s="9">
        <v>737</v>
      </c>
      <c r="I52" s="9">
        <v>542</v>
      </c>
      <c r="J52" s="10">
        <f t="shared" si="2"/>
        <v>49.89844278943805</v>
      </c>
      <c r="K52" s="9">
        <v>261</v>
      </c>
      <c r="L52" s="9">
        <f>254</f>
        <v>254</v>
      </c>
      <c r="M52" s="9">
        <v>15</v>
      </c>
      <c r="N52" s="9">
        <f t="shared" si="10"/>
        <v>269</v>
      </c>
      <c r="O52" s="9">
        <f t="shared" si="3"/>
        <v>530</v>
      </c>
      <c r="P52" s="9">
        <v>210</v>
      </c>
      <c r="Q52" s="11">
        <f t="shared" si="4"/>
        <v>17.670954637779282</v>
      </c>
      <c r="R52" s="11">
        <f t="shared" si="11"/>
        <v>35.883547731888967</v>
      </c>
      <c r="S52" s="11">
        <f t="shared" si="6"/>
        <v>71.621621621621628</v>
      </c>
    </row>
    <row r="53" spans="1:19" x14ac:dyDescent="0.2">
      <c r="A53" s="8">
        <v>39172</v>
      </c>
      <c r="B53" s="9">
        <v>1495</v>
      </c>
      <c r="C53" s="9">
        <v>192</v>
      </c>
      <c r="D53" s="9">
        <f t="shared" si="0"/>
        <v>1303</v>
      </c>
      <c r="E53" s="9">
        <v>1349</v>
      </c>
      <c r="F53" s="9">
        <v>110</v>
      </c>
      <c r="G53" s="9">
        <f t="shared" si="1"/>
        <v>1239</v>
      </c>
      <c r="H53" s="9">
        <v>659</v>
      </c>
      <c r="I53" s="9">
        <v>449</v>
      </c>
      <c r="J53" s="10">
        <f t="shared" si="2"/>
        <v>53.188054882970135</v>
      </c>
      <c r="K53" s="9">
        <v>187</v>
      </c>
      <c r="L53" s="9">
        <f>175</f>
        <v>175</v>
      </c>
      <c r="M53" s="9">
        <v>3</v>
      </c>
      <c r="N53" s="9">
        <f t="shared" si="10"/>
        <v>178</v>
      </c>
      <c r="O53" s="9">
        <f t="shared" si="3"/>
        <v>365</v>
      </c>
      <c r="P53" s="9">
        <v>215</v>
      </c>
      <c r="Q53" s="11">
        <f t="shared" si="4"/>
        <v>15.09281678773204</v>
      </c>
      <c r="R53" s="11">
        <f t="shared" si="11"/>
        <v>29.459241323648104</v>
      </c>
      <c r="S53" s="11">
        <f t="shared" si="6"/>
        <v>62.931034482758619</v>
      </c>
    </row>
    <row r="54" spans="1:19" x14ac:dyDescent="0.2">
      <c r="A54" s="8">
        <v>39202</v>
      </c>
      <c r="B54" s="9">
        <v>2254</v>
      </c>
      <c r="C54" s="9">
        <v>235</v>
      </c>
      <c r="D54" s="9">
        <f t="shared" si="0"/>
        <v>2019</v>
      </c>
      <c r="E54" s="9">
        <v>1513</v>
      </c>
      <c r="F54" s="9">
        <v>182</v>
      </c>
      <c r="G54" s="9">
        <f t="shared" si="1"/>
        <v>1331</v>
      </c>
      <c r="H54" s="9">
        <v>659</v>
      </c>
      <c r="I54" s="9">
        <v>392</v>
      </c>
      <c r="J54" s="10">
        <f t="shared" si="2"/>
        <v>49.511645379413977</v>
      </c>
      <c r="K54" s="9">
        <v>240</v>
      </c>
      <c r="L54" s="9">
        <f>184</f>
        <v>184</v>
      </c>
      <c r="M54" s="9">
        <v>17</v>
      </c>
      <c r="N54" s="9">
        <f t="shared" si="10"/>
        <v>201</v>
      </c>
      <c r="O54" s="9">
        <f t="shared" si="3"/>
        <v>441</v>
      </c>
      <c r="P54" s="9">
        <v>231</v>
      </c>
      <c r="Q54" s="11">
        <f t="shared" si="4"/>
        <v>18.031555221637866</v>
      </c>
      <c r="R54" s="11">
        <f t="shared" si="11"/>
        <v>33.132982719759582</v>
      </c>
      <c r="S54" s="11">
        <f t="shared" si="6"/>
        <v>65.625</v>
      </c>
    </row>
    <row r="55" spans="1:19" x14ac:dyDescent="0.2">
      <c r="A55" s="8">
        <v>39233</v>
      </c>
      <c r="B55" s="9">
        <v>1675</v>
      </c>
      <c r="C55" s="9">
        <v>239</v>
      </c>
      <c r="D55" s="9">
        <f t="shared" si="0"/>
        <v>1436</v>
      </c>
      <c r="E55" s="9">
        <v>1659</v>
      </c>
      <c r="F55" s="9">
        <v>152</v>
      </c>
      <c r="G55" s="9">
        <f t="shared" si="1"/>
        <v>1507</v>
      </c>
      <c r="H55" s="9">
        <v>767</v>
      </c>
      <c r="I55" s="9">
        <v>514</v>
      </c>
      <c r="J55" s="10">
        <f t="shared" si="2"/>
        <v>50.895819508958198</v>
      </c>
      <c r="K55" s="9">
        <v>369</v>
      </c>
      <c r="L55" s="9">
        <f>189</f>
        <v>189</v>
      </c>
      <c r="M55" s="9">
        <v>3</v>
      </c>
      <c r="N55" s="9">
        <f t="shared" si="10"/>
        <v>192</v>
      </c>
      <c r="O55" s="9">
        <f t="shared" si="3"/>
        <v>561</v>
      </c>
      <c r="P55" s="9">
        <v>179</v>
      </c>
      <c r="Q55" s="11">
        <f t="shared" si="4"/>
        <v>24.485733244857332</v>
      </c>
      <c r="R55" s="11">
        <f t="shared" si="11"/>
        <v>37.226277372262771</v>
      </c>
      <c r="S55" s="11">
        <f t="shared" si="6"/>
        <v>75.810810810810807</v>
      </c>
    </row>
    <row r="56" spans="1:19" x14ac:dyDescent="0.2">
      <c r="A56" s="8">
        <v>39263</v>
      </c>
      <c r="B56" s="9">
        <v>1742</v>
      </c>
      <c r="C56" s="9">
        <v>274</v>
      </c>
      <c r="D56" s="9">
        <f t="shared" si="0"/>
        <v>1468</v>
      </c>
      <c r="E56" s="9">
        <v>1818</v>
      </c>
      <c r="F56" s="9">
        <v>156</v>
      </c>
      <c r="G56" s="9">
        <f t="shared" si="1"/>
        <v>1662</v>
      </c>
      <c r="H56" s="9">
        <v>878</v>
      </c>
      <c r="I56" s="9">
        <v>637</v>
      </c>
      <c r="J56" s="10">
        <f t="shared" si="2"/>
        <v>52.827918170878462</v>
      </c>
      <c r="K56" s="9">
        <v>447</v>
      </c>
      <c r="L56" s="9">
        <f>153</f>
        <v>153</v>
      </c>
      <c r="M56" s="9">
        <v>8</v>
      </c>
      <c r="N56" s="9">
        <f t="shared" si="10"/>
        <v>161</v>
      </c>
      <c r="O56" s="9">
        <f t="shared" si="3"/>
        <v>608</v>
      </c>
      <c r="P56" s="9">
        <v>176</v>
      </c>
      <c r="Q56" s="11">
        <f t="shared" si="4"/>
        <v>26.895306859205775</v>
      </c>
      <c r="R56" s="11">
        <f t="shared" si="11"/>
        <v>36.58243080625752</v>
      </c>
      <c r="S56" s="11">
        <f t="shared" si="6"/>
        <v>77.551020408163268</v>
      </c>
    </row>
    <row r="57" spans="1:19" x14ac:dyDescent="0.2">
      <c r="A57" s="8">
        <v>39294</v>
      </c>
      <c r="B57" s="9">
        <v>1729</v>
      </c>
      <c r="C57" s="9">
        <v>244</v>
      </c>
      <c r="D57" s="9">
        <f t="shared" si="0"/>
        <v>1485</v>
      </c>
      <c r="E57" s="9">
        <v>1836</v>
      </c>
      <c r="F57" s="9">
        <v>153</v>
      </c>
      <c r="G57" s="9">
        <f t="shared" si="1"/>
        <v>1683</v>
      </c>
      <c r="H57" s="9">
        <v>912</v>
      </c>
      <c r="I57" s="9">
        <v>686</v>
      </c>
      <c r="J57" s="10">
        <f t="shared" si="2"/>
        <v>54.188948306595364</v>
      </c>
      <c r="K57" s="9">
        <v>426</v>
      </c>
      <c r="L57" s="9">
        <f>142</f>
        <v>142</v>
      </c>
      <c r="M57" s="9">
        <v>4</v>
      </c>
      <c r="N57" s="9">
        <f t="shared" si="10"/>
        <v>146</v>
      </c>
      <c r="O57" s="9">
        <f t="shared" si="3"/>
        <v>572</v>
      </c>
      <c r="P57" s="9">
        <v>199</v>
      </c>
      <c r="Q57" s="11">
        <f t="shared" si="4"/>
        <v>25.311942959001783</v>
      </c>
      <c r="R57" s="11">
        <f t="shared" si="11"/>
        <v>33.986928104575163</v>
      </c>
      <c r="S57" s="11">
        <f t="shared" si="6"/>
        <v>74.189364461738009</v>
      </c>
    </row>
    <row r="58" spans="1:19" x14ac:dyDescent="0.2">
      <c r="A58" s="8">
        <v>39325</v>
      </c>
      <c r="B58" s="9">
        <v>2042</v>
      </c>
      <c r="C58" s="9">
        <v>268</v>
      </c>
      <c r="D58" s="9">
        <f t="shared" si="0"/>
        <v>1774</v>
      </c>
      <c r="E58" s="9">
        <v>1857</v>
      </c>
      <c r="F58" s="9">
        <v>153</v>
      </c>
      <c r="G58" s="9">
        <f t="shared" si="1"/>
        <v>1704</v>
      </c>
      <c r="H58" s="9">
        <v>935</v>
      </c>
      <c r="I58" s="9">
        <v>731</v>
      </c>
      <c r="J58" s="10">
        <f t="shared" si="2"/>
        <v>54.870892018779337</v>
      </c>
      <c r="K58" s="9">
        <v>436</v>
      </c>
      <c r="L58" s="9">
        <f>180</f>
        <v>180</v>
      </c>
      <c r="M58" s="9">
        <v>2</v>
      </c>
      <c r="N58" s="9">
        <f t="shared" si="10"/>
        <v>182</v>
      </c>
      <c r="O58" s="9">
        <f t="shared" si="3"/>
        <v>618</v>
      </c>
      <c r="P58" s="9">
        <v>151</v>
      </c>
      <c r="Q58" s="11">
        <f t="shared" si="4"/>
        <v>25.586854460093893</v>
      </c>
      <c r="R58" s="11">
        <f t="shared" si="11"/>
        <v>36.267605633802816</v>
      </c>
      <c r="S58" s="11">
        <f t="shared" si="6"/>
        <v>80.364109232769835</v>
      </c>
    </row>
    <row r="59" spans="1:19" x14ac:dyDescent="0.2">
      <c r="A59" s="8">
        <v>39355</v>
      </c>
      <c r="B59" s="9">
        <v>2142</v>
      </c>
      <c r="C59" s="9">
        <v>316</v>
      </c>
      <c r="D59" s="9">
        <f t="shared" si="0"/>
        <v>1826</v>
      </c>
      <c r="E59" s="9">
        <v>1642</v>
      </c>
      <c r="F59" s="9">
        <v>165</v>
      </c>
      <c r="G59" s="9">
        <f t="shared" si="1"/>
        <v>1477</v>
      </c>
      <c r="H59" s="9">
        <v>790</v>
      </c>
      <c r="I59" s="9">
        <v>655</v>
      </c>
      <c r="J59" s="10">
        <f t="shared" si="2"/>
        <v>53.48679756262694</v>
      </c>
      <c r="K59" s="9">
        <v>362</v>
      </c>
      <c r="L59" s="9">
        <f>166</f>
        <v>166</v>
      </c>
      <c r="M59" s="9">
        <v>9</v>
      </c>
      <c r="N59" s="9">
        <f t="shared" si="10"/>
        <v>175</v>
      </c>
      <c r="O59" s="9">
        <f t="shared" si="3"/>
        <v>537</v>
      </c>
      <c r="P59" s="9">
        <v>150</v>
      </c>
      <c r="Q59" s="11">
        <f t="shared" si="4"/>
        <v>24.509140148950575</v>
      </c>
      <c r="R59" s="11">
        <f t="shared" si="11"/>
        <v>36.357481381178061</v>
      </c>
      <c r="S59" s="11">
        <f t="shared" si="6"/>
        <v>78.165938864628828</v>
      </c>
    </row>
    <row r="60" spans="1:19" x14ac:dyDescent="0.2">
      <c r="A60" s="8">
        <v>39386</v>
      </c>
      <c r="B60" s="9">
        <v>2566</v>
      </c>
      <c r="C60" s="9">
        <v>347</v>
      </c>
      <c r="D60" s="9">
        <f t="shared" si="0"/>
        <v>2219</v>
      </c>
      <c r="E60" s="9">
        <v>1668</v>
      </c>
      <c r="F60" s="9">
        <v>191</v>
      </c>
      <c r="G60" s="9">
        <f t="shared" si="1"/>
        <v>1477</v>
      </c>
      <c r="H60" s="9">
        <v>912</v>
      </c>
      <c r="I60" s="9">
        <v>780</v>
      </c>
      <c r="J60" s="10">
        <f t="shared" si="2"/>
        <v>61.746784021665533</v>
      </c>
      <c r="K60" s="9">
        <v>231</v>
      </c>
      <c r="L60" s="9">
        <f>122</f>
        <v>122</v>
      </c>
      <c r="M60" s="9">
        <v>1</v>
      </c>
      <c r="N60" s="9">
        <f t="shared" si="10"/>
        <v>123</v>
      </c>
      <c r="O60" s="9">
        <f t="shared" si="3"/>
        <v>354</v>
      </c>
      <c r="P60" s="9">
        <v>211</v>
      </c>
      <c r="Q60" s="11">
        <f t="shared" si="4"/>
        <v>15.639810426540285</v>
      </c>
      <c r="R60" s="11">
        <f t="shared" si="11"/>
        <v>23.967501692620178</v>
      </c>
      <c r="S60" s="11">
        <f t="shared" si="6"/>
        <v>62.654867256637168</v>
      </c>
    </row>
    <row r="61" spans="1:19" x14ac:dyDescent="0.2">
      <c r="A61" s="8">
        <v>39416</v>
      </c>
      <c r="B61" s="9">
        <v>2535</v>
      </c>
      <c r="C61" s="9">
        <v>348</v>
      </c>
      <c r="D61" s="9">
        <f t="shared" si="0"/>
        <v>2187</v>
      </c>
      <c r="E61" s="9">
        <v>2014</v>
      </c>
      <c r="F61" s="9">
        <v>246</v>
      </c>
      <c r="G61" s="9">
        <f t="shared" si="1"/>
        <v>1768</v>
      </c>
      <c r="H61" s="9">
        <v>1112</v>
      </c>
      <c r="I61" s="9">
        <v>870</v>
      </c>
      <c r="J61" s="10">
        <f t="shared" si="2"/>
        <v>62.895927601809952</v>
      </c>
      <c r="K61" s="9">
        <v>300</v>
      </c>
      <c r="L61" s="9">
        <f>146</f>
        <v>146</v>
      </c>
      <c r="M61" s="9">
        <v>2</v>
      </c>
      <c r="N61" s="9">
        <f t="shared" si="10"/>
        <v>148</v>
      </c>
      <c r="O61" s="9">
        <f t="shared" si="3"/>
        <v>448</v>
      </c>
      <c r="P61" s="9">
        <v>208</v>
      </c>
      <c r="Q61" s="11">
        <f t="shared" si="4"/>
        <v>16.968325791855204</v>
      </c>
      <c r="R61" s="11">
        <f t="shared" si="11"/>
        <v>25.339366515837103</v>
      </c>
      <c r="S61" s="11">
        <f t="shared" si="6"/>
        <v>68.292682926829272</v>
      </c>
    </row>
    <row r="62" spans="1:19" x14ac:dyDescent="0.2">
      <c r="A62" s="4">
        <v>39447</v>
      </c>
      <c r="B62" s="5">
        <v>2653</v>
      </c>
      <c r="C62" s="5">
        <v>337</v>
      </c>
      <c r="D62" s="5">
        <f t="shared" si="0"/>
        <v>2316</v>
      </c>
      <c r="E62" s="5">
        <v>2335</v>
      </c>
      <c r="F62" s="5">
        <v>311</v>
      </c>
      <c r="G62" s="5">
        <f t="shared" si="1"/>
        <v>2024</v>
      </c>
      <c r="H62" s="5">
        <v>1169</v>
      </c>
      <c r="I62" s="5">
        <v>808</v>
      </c>
      <c r="J62" s="6">
        <f t="shared" si="2"/>
        <v>57.756916996047437</v>
      </c>
      <c r="K62" s="5">
        <v>425</v>
      </c>
      <c r="L62" s="5">
        <f>188</f>
        <v>188</v>
      </c>
      <c r="M62" s="5">
        <v>7</v>
      </c>
      <c r="N62" s="5">
        <f t="shared" si="10"/>
        <v>195</v>
      </c>
      <c r="O62" s="5">
        <f t="shared" si="3"/>
        <v>620</v>
      </c>
      <c r="P62" s="5">
        <v>235</v>
      </c>
      <c r="Q62" s="7">
        <f t="shared" si="4"/>
        <v>20.99802371541502</v>
      </c>
      <c r="R62" s="7">
        <f t="shared" si="11"/>
        <v>30.632411067193676</v>
      </c>
      <c r="S62" s="7">
        <f t="shared" si="6"/>
        <v>72.514619883040936</v>
      </c>
    </row>
    <row r="63" spans="1:19" x14ac:dyDescent="0.2">
      <c r="A63" s="4">
        <v>39478</v>
      </c>
      <c r="B63" s="5">
        <v>2248</v>
      </c>
      <c r="C63" s="5">
        <v>313</v>
      </c>
      <c r="D63" s="5">
        <f t="shared" si="0"/>
        <v>1935</v>
      </c>
      <c r="E63" s="5">
        <v>2090</v>
      </c>
      <c r="F63" s="5">
        <v>241</v>
      </c>
      <c r="G63" s="5">
        <f t="shared" si="1"/>
        <v>1849</v>
      </c>
      <c r="H63" s="5">
        <v>1135</v>
      </c>
      <c r="I63" s="5">
        <v>737</v>
      </c>
      <c r="J63" s="6">
        <f t="shared" si="2"/>
        <v>61.384532179556516</v>
      </c>
      <c r="K63" s="5">
        <v>357</v>
      </c>
      <c r="L63" s="5">
        <f>184</f>
        <v>184</v>
      </c>
      <c r="M63" s="5">
        <v>7</v>
      </c>
      <c r="N63" s="5">
        <f t="shared" si="10"/>
        <v>191</v>
      </c>
      <c r="O63" s="5">
        <f t="shared" si="3"/>
        <v>548</v>
      </c>
      <c r="P63" s="5">
        <v>166</v>
      </c>
      <c r="Q63" s="7">
        <f t="shared" si="4"/>
        <v>19.307733910221742</v>
      </c>
      <c r="R63" s="7">
        <f t="shared" si="11"/>
        <v>29.637641968631694</v>
      </c>
      <c r="S63" s="7">
        <f t="shared" si="6"/>
        <v>76.750700280112056</v>
      </c>
    </row>
    <row r="64" spans="1:19" x14ac:dyDescent="0.2">
      <c r="A64" s="4">
        <v>39507</v>
      </c>
      <c r="B64" s="5">
        <v>2249</v>
      </c>
      <c r="C64" s="5">
        <v>343</v>
      </c>
      <c r="D64" s="5">
        <f t="shared" si="0"/>
        <v>1906</v>
      </c>
      <c r="E64" s="5">
        <v>2448</v>
      </c>
      <c r="F64" s="5">
        <v>297</v>
      </c>
      <c r="G64" s="5">
        <f t="shared" si="1"/>
        <v>2151</v>
      </c>
      <c r="H64" s="5">
        <v>1393</v>
      </c>
      <c r="I64" s="5">
        <v>903</v>
      </c>
      <c r="J64" s="6">
        <f t="shared" si="2"/>
        <v>64.760576476057651</v>
      </c>
      <c r="K64" s="5">
        <v>259</v>
      </c>
      <c r="L64" s="5">
        <f>166</f>
        <v>166</v>
      </c>
      <c r="M64" s="5">
        <v>4</v>
      </c>
      <c r="N64" s="5">
        <f t="shared" si="10"/>
        <v>170</v>
      </c>
      <c r="O64" s="5">
        <f t="shared" si="3"/>
        <v>429</v>
      </c>
      <c r="P64" s="5">
        <v>329</v>
      </c>
      <c r="Q64" s="7">
        <f t="shared" si="4"/>
        <v>12.04091120409112</v>
      </c>
      <c r="R64" s="7">
        <f t="shared" si="11"/>
        <v>19.944211994421199</v>
      </c>
      <c r="S64" s="7">
        <f t="shared" si="6"/>
        <v>56.596306068601585</v>
      </c>
    </row>
    <row r="65" spans="1:19" x14ac:dyDescent="0.2">
      <c r="A65" s="4">
        <v>39538</v>
      </c>
      <c r="B65" s="5">
        <v>2426</v>
      </c>
      <c r="C65" s="5">
        <v>298</v>
      </c>
      <c r="D65" s="5">
        <f t="shared" si="0"/>
        <v>2128</v>
      </c>
      <c r="E65" s="5">
        <v>1954</v>
      </c>
      <c r="F65" s="5">
        <v>276</v>
      </c>
      <c r="G65" s="5">
        <f t="shared" si="1"/>
        <v>1678</v>
      </c>
      <c r="H65" s="5">
        <v>1168</v>
      </c>
      <c r="I65" s="5">
        <v>796</v>
      </c>
      <c r="J65" s="6">
        <f t="shared" si="2"/>
        <v>69.606674612634095</v>
      </c>
      <c r="K65" s="5">
        <v>161</v>
      </c>
      <c r="L65" s="5">
        <f>99</f>
        <v>99</v>
      </c>
      <c r="M65" s="5">
        <v>5</v>
      </c>
      <c r="N65" s="5">
        <f t="shared" si="10"/>
        <v>104</v>
      </c>
      <c r="O65" s="5">
        <f t="shared" si="3"/>
        <v>265</v>
      </c>
      <c r="P65" s="5">
        <v>245</v>
      </c>
      <c r="Q65" s="7">
        <f t="shared" si="4"/>
        <v>9.5947556615017877</v>
      </c>
      <c r="R65" s="7">
        <f t="shared" si="11"/>
        <v>15.792610250297972</v>
      </c>
      <c r="S65" s="7">
        <f t="shared" si="6"/>
        <v>51.960784313725497</v>
      </c>
    </row>
    <row r="66" spans="1:19" x14ac:dyDescent="0.2">
      <c r="A66" s="4">
        <v>39568</v>
      </c>
      <c r="B66" s="5">
        <v>2329</v>
      </c>
      <c r="C66" s="5">
        <v>205</v>
      </c>
      <c r="D66" s="5">
        <f t="shared" ref="D66:D120" si="12">B66-C66</f>
        <v>2124</v>
      </c>
      <c r="E66" s="5">
        <v>2102</v>
      </c>
      <c r="F66" s="5">
        <v>196</v>
      </c>
      <c r="G66" s="5">
        <f t="shared" ref="G66:G120" si="13">E66-F66</f>
        <v>1906</v>
      </c>
      <c r="H66" s="5">
        <v>1233</v>
      </c>
      <c r="I66" s="5">
        <v>838</v>
      </c>
      <c r="J66" s="6">
        <f t="shared" ref="J66:J119" si="14">(H66/G66)*100</f>
        <v>64.690451206715636</v>
      </c>
      <c r="K66" s="5">
        <v>219</v>
      </c>
      <c r="L66" s="5">
        <f>127</f>
        <v>127</v>
      </c>
      <c r="M66" s="5">
        <v>8</v>
      </c>
      <c r="N66" s="5">
        <f t="shared" si="10"/>
        <v>135</v>
      </c>
      <c r="O66" s="5">
        <f t="shared" ref="O66:O119" si="15">K66+N66</f>
        <v>354</v>
      </c>
      <c r="P66" s="5">
        <v>319</v>
      </c>
      <c r="Q66" s="7">
        <f t="shared" si="4"/>
        <v>11.490031479538301</v>
      </c>
      <c r="R66" s="7">
        <f t="shared" ref="R66:R97" si="16">(O66/G66)*100</f>
        <v>18.572927597061909</v>
      </c>
      <c r="S66" s="7">
        <f t="shared" ref="S66:S117" si="17">O66/(G66-H66)*100</f>
        <v>52.600297176820213</v>
      </c>
    </row>
    <row r="67" spans="1:19" x14ac:dyDescent="0.2">
      <c r="A67" s="4">
        <v>39599</v>
      </c>
      <c r="B67" s="5">
        <v>2525</v>
      </c>
      <c r="C67" s="5">
        <v>169</v>
      </c>
      <c r="D67" s="5">
        <f t="shared" si="12"/>
        <v>2356</v>
      </c>
      <c r="E67" s="5">
        <v>2043</v>
      </c>
      <c r="F67" s="5">
        <v>255</v>
      </c>
      <c r="G67" s="5">
        <f t="shared" si="13"/>
        <v>1788</v>
      </c>
      <c r="H67" s="5">
        <v>1125</v>
      </c>
      <c r="I67" s="5">
        <v>744</v>
      </c>
      <c r="J67" s="6">
        <f t="shared" si="14"/>
        <v>62.919463087248317</v>
      </c>
      <c r="K67" s="5">
        <v>163</v>
      </c>
      <c r="L67" s="5">
        <f>160</f>
        <v>160</v>
      </c>
      <c r="M67" s="5">
        <v>4</v>
      </c>
      <c r="N67" s="5">
        <f t="shared" ref="N67:N120" si="18">L67+M67</f>
        <v>164</v>
      </c>
      <c r="O67" s="5">
        <f t="shared" si="15"/>
        <v>327</v>
      </c>
      <c r="P67" s="5">
        <v>336</v>
      </c>
      <c r="Q67" s="7">
        <f t="shared" ref="Q67:Q119" si="19">(K67/G67)*100</f>
        <v>9.116331096196868</v>
      </c>
      <c r="R67" s="7">
        <f t="shared" si="16"/>
        <v>18.288590604026847</v>
      </c>
      <c r="S67" s="7">
        <f t="shared" si="17"/>
        <v>49.321266968325794</v>
      </c>
    </row>
    <row r="68" spans="1:19" x14ac:dyDescent="0.2">
      <c r="A68" s="4">
        <v>39629</v>
      </c>
      <c r="B68" s="5">
        <v>2789</v>
      </c>
      <c r="C68" s="5">
        <v>174</v>
      </c>
      <c r="D68" s="5">
        <f t="shared" si="12"/>
        <v>2615</v>
      </c>
      <c r="E68" s="5">
        <v>1872</v>
      </c>
      <c r="F68" s="5">
        <v>259</v>
      </c>
      <c r="G68" s="5">
        <f t="shared" si="13"/>
        <v>1613</v>
      </c>
      <c r="H68" s="5">
        <v>1080</v>
      </c>
      <c r="I68" s="5">
        <v>816</v>
      </c>
      <c r="J68" s="6">
        <f t="shared" si="14"/>
        <v>66.95598264104153</v>
      </c>
      <c r="K68" s="5">
        <v>140</v>
      </c>
      <c r="L68" s="5">
        <f>109</f>
        <v>109</v>
      </c>
      <c r="M68" s="5">
        <v>3</v>
      </c>
      <c r="N68" s="5">
        <f t="shared" si="18"/>
        <v>112</v>
      </c>
      <c r="O68" s="5">
        <f t="shared" si="15"/>
        <v>252</v>
      </c>
      <c r="P68" s="5">
        <v>281</v>
      </c>
      <c r="Q68" s="7">
        <f t="shared" si="19"/>
        <v>8.6794792312461251</v>
      </c>
      <c r="R68" s="7">
        <f t="shared" si="16"/>
        <v>15.623062616243026</v>
      </c>
      <c r="S68" s="7">
        <f t="shared" si="17"/>
        <v>47.27954971857411</v>
      </c>
    </row>
    <row r="69" spans="1:19" x14ac:dyDescent="0.2">
      <c r="A69" s="4">
        <v>39660</v>
      </c>
      <c r="B69" s="5">
        <v>2788</v>
      </c>
      <c r="C69" s="5">
        <v>183</v>
      </c>
      <c r="D69" s="5">
        <f t="shared" si="12"/>
        <v>2605</v>
      </c>
      <c r="E69" s="5">
        <v>2065</v>
      </c>
      <c r="F69" s="5">
        <v>367</v>
      </c>
      <c r="G69" s="5">
        <f t="shared" si="13"/>
        <v>1698</v>
      </c>
      <c r="H69" s="5">
        <v>1283</v>
      </c>
      <c r="I69" s="5">
        <v>816</v>
      </c>
      <c r="J69" s="6">
        <f t="shared" si="14"/>
        <v>75.559481743227337</v>
      </c>
      <c r="K69" s="5">
        <v>135</v>
      </c>
      <c r="L69" s="5">
        <f>64</f>
        <v>64</v>
      </c>
      <c r="M69" s="5">
        <v>3</v>
      </c>
      <c r="N69" s="5">
        <f t="shared" si="18"/>
        <v>67</v>
      </c>
      <c r="O69" s="5">
        <f t="shared" si="15"/>
        <v>202</v>
      </c>
      <c r="P69" s="5">
        <v>213</v>
      </c>
      <c r="Q69" s="7">
        <f t="shared" si="19"/>
        <v>7.9505300353356887</v>
      </c>
      <c r="R69" s="7">
        <f t="shared" si="16"/>
        <v>11.896348645465253</v>
      </c>
      <c r="S69" s="7">
        <f t="shared" si="17"/>
        <v>48.674698795180724</v>
      </c>
    </row>
    <row r="70" spans="1:19" x14ac:dyDescent="0.2">
      <c r="A70" s="4">
        <v>39691</v>
      </c>
      <c r="B70" s="5">
        <v>2253</v>
      </c>
      <c r="C70" s="5">
        <v>161</v>
      </c>
      <c r="D70" s="5">
        <f t="shared" si="12"/>
        <v>2092</v>
      </c>
      <c r="E70" s="5">
        <v>2027</v>
      </c>
      <c r="F70" s="5">
        <v>388</v>
      </c>
      <c r="G70" s="5">
        <f t="shared" si="13"/>
        <v>1639</v>
      </c>
      <c r="H70" s="5">
        <v>1087</v>
      </c>
      <c r="I70" s="5">
        <v>638</v>
      </c>
      <c r="J70" s="6">
        <f t="shared" si="14"/>
        <v>66.3209273947529</v>
      </c>
      <c r="K70" s="5">
        <v>143</v>
      </c>
      <c r="L70" s="5">
        <f>79</f>
        <v>79</v>
      </c>
      <c r="M70" s="5">
        <v>4</v>
      </c>
      <c r="N70" s="5">
        <f t="shared" si="18"/>
        <v>83</v>
      </c>
      <c r="O70" s="5">
        <f t="shared" si="15"/>
        <v>226</v>
      </c>
      <c r="P70" s="5">
        <v>326</v>
      </c>
      <c r="Q70" s="7">
        <f t="shared" si="19"/>
        <v>8.724832214765101</v>
      </c>
      <c r="R70" s="7">
        <f t="shared" si="16"/>
        <v>13.788895668090298</v>
      </c>
      <c r="S70" s="7">
        <f t="shared" si="17"/>
        <v>40.942028985507243</v>
      </c>
    </row>
    <row r="71" spans="1:19" x14ac:dyDescent="0.2">
      <c r="A71" s="4">
        <v>39721</v>
      </c>
      <c r="B71" s="5">
        <v>2407</v>
      </c>
      <c r="C71" s="5">
        <v>194</v>
      </c>
      <c r="D71" s="5">
        <f t="shared" si="12"/>
        <v>2213</v>
      </c>
      <c r="E71" s="5">
        <v>2218</v>
      </c>
      <c r="F71" s="5">
        <v>302</v>
      </c>
      <c r="G71" s="5">
        <f t="shared" si="13"/>
        <v>1916</v>
      </c>
      <c r="H71" s="5">
        <v>1181</v>
      </c>
      <c r="I71" s="5">
        <v>679</v>
      </c>
      <c r="J71" s="6">
        <f t="shared" si="14"/>
        <v>61.638830897703542</v>
      </c>
      <c r="K71" s="5">
        <v>210</v>
      </c>
      <c r="L71" s="5">
        <f>121</f>
        <v>121</v>
      </c>
      <c r="M71" s="5">
        <v>5</v>
      </c>
      <c r="N71" s="5">
        <f t="shared" si="18"/>
        <v>126</v>
      </c>
      <c r="O71" s="5">
        <f t="shared" si="15"/>
        <v>336</v>
      </c>
      <c r="P71" s="5">
        <v>399</v>
      </c>
      <c r="Q71" s="7">
        <f t="shared" si="19"/>
        <v>10.960334029227557</v>
      </c>
      <c r="R71" s="7">
        <f t="shared" si="16"/>
        <v>17.536534446764094</v>
      </c>
      <c r="S71" s="7">
        <f t="shared" si="17"/>
        <v>45.714285714285715</v>
      </c>
    </row>
    <row r="72" spans="1:19" x14ac:dyDescent="0.2">
      <c r="A72" s="4">
        <v>39752</v>
      </c>
      <c r="B72" s="5">
        <v>2376</v>
      </c>
      <c r="C72" s="5">
        <v>182</v>
      </c>
      <c r="D72" s="5">
        <f t="shared" si="12"/>
        <v>2194</v>
      </c>
      <c r="E72" s="5">
        <v>2123</v>
      </c>
      <c r="F72" s="5">
        <v>352</v>
      </c>
      <c r="G72" s="5">
        <f t="shared" si="13"/>
        <v>1771</v>
      </c>
      <c r="H72" s="5">
        <v>1180</v>
      </c>
      <c r="I72" s="5">
        <v>731</v>
      </c>
      <c r="J72" s="6">
        <f t="shared" si="14"/>
        <v>66.629023150762279</v>
      </c>
      <c r="K72" s="5">
        <v>154</v>
      </c>
      <c r="L72" s="5">
        <f>118</f>
        <v>118</v>
      </c>
      <c r="M72" s="5">
        <v>8</v>
      </c>
      <c r="N72" s="5">
        <f t="shared" si="18"/>
        <v>126</v>
      </c>
      <c r="O72" s="5">
        <f t="shared" si="15"/>
        <v>280</v>
      </c>
      <c r="P72" s="5">
        <v>311</v>
      </c>
      <c r="Q72" s="7">
        <f t="shared" si="19"/>
        <v>8.695652173913043</v>
      </c>
      <c r="R72" s="7">
        <f t="shared" si="16"/>
        <v>15.810276679841898</v>
      </c>
      <c r="S72" s="7">
        <f t="shared" si="17"/>
        <v>47.377326565143825</v>
      </c>
    </row>
    <row r="73" spans="1:19" x14ac:dyDescent="0.2">
      <c r="A73" s="4">
        <v>39782</v>
      </c>
      <c r="B73" s="5">
        <v>1588</v>
      </c>
      <c r="C73" s="5">
        <v>124</v>
      </c>
      <c r="D73" s="5">
        <f t="shared" si="12"/>
        <v>1464</v>
      </c>
      <c r="E73" s="5">
        <v>1664</v>
      </c>
      <c r="F73" s="5">
        <v>254</v>
      </c>
      <c r="G73" s="5">
        <f t="shared" si="13"/>
        <v>1410</v>
      </c>
      <c r="H73" s="5">
        <v>915</v>
      </c>
      <c r="I73" s="5">
        <v>624</v>
      </c>
      <c r="J73" s="6">
        <f t="shared" si="14"/>
        <v>64.893617021276597</v>
      </c>
      <c r="K73" s="5">
        <v>141</v>
      </c>
      <c r="L73" s="5">
        <f>111</f>
        <v>111</v>
      </c>
      <c r="M73" s="5">
        <v>1</v>
      </c>
      <c r="N73" s="5">
        <f t="shared" si="18"/>
        <v>112</v>
      </c>
      <c r="O73" s="5">
        <f t="shared" si="15"/>
        <v>253</v>
      </c>
      <c r="P73" s="5">
        <v>242</v>
      </c>
      <c r="Q73" s="7">
        <f t="shared" si="19"/>
        <v>10</v>
      </c>
      <c r="R73" s="7">
        <f t="shared" si="16"/>
        <v>17.943262411347519</v>
      </c>
      <c r="S73" s="7">
        <f t="shared" si="17"/>
        <v>51.111111111111107</v>
      </c>
    </row>
    <row r="74" spans="1:19" x14ac:dyDescent="0.2">
      <c r="A74" s="8">
        <v>39813</v>
      </c>
      <c r="B74" s="9">
        <v>2141</v>
      </c>
      <c r="C74" s="9">
        <v>188</v>
      </c>
      <c r="D74" s="9">
        <f t="shared" si="12"/>
        <v>1953</v>
      </c>
      <c r="E74" s="9">
        <v>2043</v>
      </c>
      <c r="F74" s="9">
        <v>347</v>
      </c>
      <c r="G74" s="9">
        <f t="shared" si="13"/>
        <v>1696</v>
      </c>
      <c r="H74" s="9">
        <v>1124</v>
      </c>
      <c r="I74" s="9">
        <v>708</v>
      </c>
      <c r="J74" s="10">
        <f t="shared" si="14"/>
        <v>66.273584905660371</v>
      </c>
      <c r="K74" s="9">
        <v>173</v>
      </c>
      <c r="L74" s="9">
        <f>122</f>
        <v>122</v>
      </c>
      <c r="M74" s="9">
        <v>0</v>
      </c>
      <c r="N74" s="9">
        <f t="shared" si="18"/>
        <v>122</v>
      </c>
      <c r="O74" s="9">
        <f t="shared" si="15"/>
        <v>295</v>
      </c>
      <c r="P74" s="9">
        <v>277</v>
      </c>
      <c r="Q74" s="11">
        <f t="shared" si="19"/>
        <v>10.200471698113207</v>
      </c>
      <c r="R74" s="11">
        <f t="shared" si="16"/>
        <v>17.393867924528301</v>
      </c>
      <c r="S74" s="11">
        <f t="shared" si="17"/>
        <v>51.573426573426573</v>
      </c>
    </row>
    <row r="75" spans="1:19" x14ac:dyDescent="0.2">
      <c r="A75" s="8">
        <v>39844</v>
      </c>
      <c r="B75" s="9">
        <v>1794</v>
      </c>
      <c r="C75" s="9">
        <v>161</v>
      </c>
      <c r="D75" s="9">
        <f t="shared" si="12"/>
        <v>1633</v>
      </c>
      <c r="E75" s="9">
        <v>1927</v>
      </c>
      <c r="F75" s="9">
        <v>294</v>
      </c>
      <c r="G75" s="9">
        <f t="shared" si="13"/>
        <v>1633</v>
      </c>
      <c r="H75" s="9">
        <v>1018</v>
      </c>
      <c r="I75" s="9">
        <v>615</v>
      </c>
      <c r="J75" s="10">
        <f t="shared" si="14"/>
        <v>62.33925290875689</v>
      </c>
      <c r="K75" s="9">
        <v>192</v>
      </c>
      <c r="L75" s="9">
        <f>118</f>
        <v>118</v>
      </c>
      <c r="M75" s="9">
        <v>4</v>
      </c>
      <c r="N75" s="9">
        <f t="shared" si="18"/>
        <v>122</v>
      </c>
      <c r="O75" s="9">
        <f t="shared" si="15"/>
        <v>314</v>
      </c>
      <c r="P75" s="9">
        <v>301</v>
      </c>
      <c r="Q75" s="11">
        <f t="shared" si="19"/>
        <v>11.757501530924678</v>
      </c>
      <c r="R75" s="11">
        <f t="shared" si="16"/>
        <v>19.228413962033066</v>
      </c>
      <c r="S75" s="11">
        <f t="shared" si="17"/>
        <v>51.056910569105696</v>
      </c>
    </row>
    <row r="76" spans="1:19" x14ac:dyDescent="0.2">
      <c r="A76" s="8">
        <v>39872</v>
      </c>
      <c r="B76" s="9">
        <v>1824</v>
      </c>
      <c r="C76" s="9">
        <v>163</v>
      </c>
      <c r="D76" s="9">
        <f t="shared" si="12"/>
        <v>1661</v>
      </c>
      <c r="E76" s="9">
        <v>2210</v>
      </c>
      <c r="F76" s="9">
        <v>326</v>
      </c>
      <c r="G76" s="9">
        <f t="shared" si="13"/>
        <v>1884</v>
      </c>
      <c r="H76" s="9">
        <v>1126</v>
      </c>
      <c r="I76" s="9">
        <v>738</v>
      </c>
      <c r="J76" s="10">
        <f t="shared" si="14"/>
        <v>59.766454352441613</v>
      </c>
      <c r="K76" s="9">
        <v>282</v>
      </c>
      <c r="L76" s="9">
        <f>159</f>
        <v>159</v>
      </c>
      <c r="M76" s="9">
        <v>3</v>
      </c>
      <c r="N76" s="9">
        <f t="shared" si="18"/>
        <v>162</v>
      </c>
      <c r="O76" s="9">
        <f t="shared" si="15"/>
        <v>444</v>
      </c>
      <c r="P76" s="9">
        <v>314</v>
      </c>
      <c r="Q76" s="11">
        <f t="shared" si="19"/>
        <v>14.968152866242038</v>
      </c>
      <c r="R76" s="11">
        <f t="shared" si="16"/>
        <v>23.566878980891719</v>
      </c>
      <c r="S76" s="11">
        <f t="shared" si="17"/>
        <v>58.575197889182064</v>
      </c>
    </row>
    <row r="77" spans="1:19" x14ac:dyDescent="0.2">
      <c r="A77" s="8">
        <v>39903</v>
      </c>
      <c r="B77" s="9">
        <v>2067</v>
      </c>
      <c r="C77" s="9">
        <v>186</v>
      </c>
      <c r="D77" s="9">
        <f t="shared" si="12"/>
        <v>1881</v>
      </c>
      <c r="E77" s="9">
        <v>2339</v>
      </c>
      <c r="F77" s="9">
        <v>348</v>
      </c>
      <c r="G77" s="9">
        <f t="shared" si="13"/>
        <v>1991</v>
      </c>
      <c r="H77" s="9">
        <v>1130</v>
      </c>
      <c r="I77" s="9">
        <v>728</v>
      </c>
      <c r="J77" s="10">
        <f t="shared" si="14"/>
        <v>56.755399296835762</v>
      </c>
      <c r="K77" s="9">
        <v>322</v>
      </c>
      <c r="L77" s="9">
        <f>195</f>
        <v>195</v>
      </c>
      <c r="M77" s="9">
        <v>5</v>
      </c>
      <c r="N77" s="9">
        <f t="shared" si="18"/>
        <v>200</v>
      </c>
      <c r="O77" s="9">
        <f t="shared" si="15"/>
        <v>522</v>
      </c>
      <c r="P77" s="9">
        <v>339</v>
      </c>
      <c r="Q77" s="11">
        <f t="shared" si="19"/>
        <v>16.172777498744352</v>
      </c>
      <c r="R77" s="11">
        <f t="shared" si="16"/>
        <v>26.217980914113507</v>
      </c>
      <c r="S77" s="11">
        <f t="shared" si="17"/>
        <v>60.627177700348433</v>
      </c>
    </row>
    <row r="78" spans="1:19" x14ac:dyDescent="0.2">
      <c r="A78" s="8">
        <v>39933</v>
      </c>
      <c r="B78" s="9">
        <v>1654</v>
      </c>
      <c r="C78" s="9">
        <v>141</v>
      </c>
      <c r="D78" s="9">
        <f t="shared" si="12"/>
        <v>1513</v>
      </c>
      <c r="E78" s="9">
        <v>2393</v>
      </c>
      <c r="F78" s="9">
        <v>352</v>
      </c>
      <c r="G78" s="9">
        <f t="shared" si="13"/>
        <v>2041</v>
      </c>
      <c r="H78" s="9">
        <v>1093</v>
      </c>
      <c r="I78" s="9">
        <v>746</v>
      </c>
      <c r="J78" s="10">
        <f t="shared" si="14"/>
        <v>53.552180303772658</v>
      </c>
      <c r="K78" s="9">
        <v>361</v>
      </c>
      <c r="L78" s="9">
        <f>250</f>
        <v>250</v>
      </c>
      <c r="M78" s="9">
        <v>4</v>
      </c>
      <c r="N78" s="9">
        <f t="shared" si="18"/>
        <v>254</v>
      </c>
      <c r="O78" s="9">
        <f t="shared" si="15"/>
        <v>615</v>
      </c>
      <c r="P78" s="9">
        <v>333</v>
      </c>
      <c r="Q78" s="11">
        <f t="shared" si="19"/>
        <v>17.687408133268008</v>
      </c>
      <c r="R78" s="11">
        <f t="shared" si="16"/>
        <v>30.132288094071534</v>
      </c>
      <c r="S78" s="11">
        <f t="shared" si="17"/>
        <v>64.87341772151899</v>
      </c>
    </row>
    <row r="79" spans="1:19" x14ac:dyDescent="0.2">
      <c r="A79" s="8">
        <v>39964</v>
      </c>
      <c r="B79" s="9">
        <v>1545</v>
      </c>
      <c r="C79" s="9">
        <v>133</v>
      </c>
      <c r="D79" s="9">
        <f t="shared" si="12"/>
        <v>1412</v>
      </c>
      <c r="E79" s="9">
        <v>1821</v>
      </c>
      <c r="F79" s="9">
        <v>255</v>
      </c>
      <c r="G79" s="9">
        <f t="shared" si="13"/>
        <v>1566</v>
      </c>
      <c r="H79" s="9">
        <v>912</v>
      </c>
      <c r="I79" s="9">
        <v>567</v>
      </c>
      <c r="J79" s="10">
        <f t="shared" si="14"/>
        <v>58.237547892720308</v>
      </c>
      <c r="K79" s="9">
        <v>189</v>
      </c>
      <c r="L79" s="9">
        <f>212</f>
        <v>212</v>
      </c>
      <c r="M79" s="9">
        <v>1</v>
      </c>
      <c r="N79" s="9">
        <f t="shared" si="18"/>
        <v>213</v>
      </c>
      <c r="O79" s="9">
        <f t="shared" si="15"/>
        <v>402</v>
      </c>
      <c r="P79" s="9">
        <v>282</v>
      </c>
      <c r="Q79" s="11">
        <f t="shared" si="19"/>
        <v>12.068965517241379</v>
      </c>
      <c r="R79" s="11">
        <f t="shared" si="16"/>
        <v>25.670498084291189</v>
      </c>
      <c r="S79" s="11">
        <f t="shared" si="17"/>
        <v>61.467889908256879</v>
      </c>
    </row>
    <row r="80" spans="1:19" x14ac:dyDescent="0.2">
      <c r="A80" s="8">
        <v>39994</v>
      </c>
      <c r="B80" s="9">
        <v>1819</v>
      </c>
      <c r="C80" s="9">
        <v>147</v>
      </c>
      <c r="D80" s="9">
        <f t="shared" si="12"/>
        <v>1672</v>
      </c>
      <c r="E80" s="9">
        <v>2227</v>
      </c>
      <c r="F80" s="9">
        <v>339</v>
      </c>
      <c r="G80" s="9">
        <f t="shared" si="13"/>
        <v>1888</v>
      </c>
      <c r="H80" s="9">
        <v>1036</v>
      </c>
      <c r="I80" s="9">
        <v>693</v>
      </c>
      <c r="J80" s="10">
        <f t="shared" si="14"/>
        <v>54.872881355932201</v>
      </c>
      <c r="K80" s="9">
        <v>274</v>
      </c>
      <c r="L80" s="9">
        <f>232</f>
        <v>232</v>
      </c>
      <c r="M80" s="9">
        <v>5</v>
      </c>
      <c r="N80" s="9">
        <f t="shared" si="18"/>
        <v>237</v>
      </c>
      <c r="O80" s="9">
        <f t="shared" si="15"/>
        <v>511</v>
      </c>
      <c r="P80" s="9">
        <v>341</v>
      </c>
      <c r="Q80" s="11">
        <f t="shared" si="19"/>
        <v>14.51271186440678</v>
      </c>
      <c r="R80" s="11">
        <f t="shared" si="16"/>
        <v>27.065677966101692</v>
      </c>
      <c r="S80" s="11">
        <f t="shared" si="17"/>
        <v>59.976525821596248</v>
      </c>
    </row>
    <row r="81" spans="1:19" x14ac:dyDescent="0.2">
      <c r="A81" s="8">
        <v>40025</v>
      </c>
      <c r="B81" s="9">
        <v>1554</v>
      </c>
      <c r="C81" s="9">
        <v>136</v>
      </c>
      <c r="D81" s="9">
        <f t="shared" si="12"/>
        <v>1418</v>
      </c>
      <c r="E81" s="9">
        <v>1813</v>
      </c>
      <c r="F81" s="9">
        <v>273</v>
      </c>
      <c r="G81" s="9">
        <f t="shared" si="13"/>
        <v>1540</v>
      </c>
      <c r="H81" s="9">
        <v>821</v>
      </c>
      <c r="I81" s="9">
        <v>511</v>
      </c>
      <c r="J81" s="10">
        <f t="shared" si="14"/>
        <v>53.311688311688307</v>
      </c>
      <c r="K81" s="9">
        <v>216</v>
      </c>
      <c r="L81" s="9">
        <f>210-12</f>
        <v>198</v>
      </c>
      <c r="M81" s="9">
        <v>0</v>
      </c>
      <c r="N81" s="9">
        <f t="shared" si="18"/>
        <v>198</v>
      </c>
      <c r="O81" s="9">
        <f t="shared" si="15"/>
        <v>414</v>
      </c>
      <c r="P81" s="9">
        <v>291</v>
      </c>
      <c r="Q81" s="11">
        <f t="shared" si="19"/>
        <v>14.025974025974024</v>
      </c>
      <c r="R81" s="11">
        <f t="shared" si="16"/>
        <v>26.88311688311688</v>
      </c>
      <c r="S81" s="11">
        <f t="shared" si="17"/>
        <v>57.57997218358831</v>
      </c>
    </row>
    <row r="82" spans="1:19" x14ac:dyDescent="0.2">
      <c r="A82" s="8">
        <v>40056</v>
      </c>
      <c r="B82" s="9">
        <v>1488</v>
      </c>
      <c r="C82" s="9">
        <v>178</v>
      </c>
      <c r="D82" s="9">
        <f t="shared" si="12"/>
        <v>1310</v>
      </c>
      <c r="E82" s="9">
        <v>1659</v>
      </c>
      <c r="F82" s="9">
        <v>272</v>
      </c>
      <c r="G82" s="9">
        <f t="shared" si="13"/>
        <v>1387</v>
      </c>
      <c r="H82" s="9">
        <v>742</v>
      </c>
      <c r="I82" s="9">
        <v>508</v>
      </c>
      <c r="J82" s="10">
        <f t="shared" si="14"/>
        <v>53.496755587599132</v>
      </c>
      <c r="K82" s="9">
        <v>193</v>
      </c>
      <c r="L82" s="9">
        <f>223</f>
        <v>223</v>
      </c>
      <c r="M82" s="9">
        <v>4</v>
      </c>
      <c r="N82" s="9">
        <f t="shared" si="18"/>
        <v>227</v>
      </c>
      <c r="O82" s="9">
        <f t="shared" si="15"/>
        <v>420</v>
      </c>
      <c r="P82" s="9">
        <v>225</v>
      </c>
      <c r="Q82" s="11">
        <f t="shared" si="19"/>
        <v>13.91492429704398</v>
      </c>
      <c r="R82" s="11">
        <f t="shared" si="16"/>
        <v>30.281182408074979</v>
      </c>
      <c r="S82" s="11">
        <f t="shared" si="17"/>
        <v>65.116279069767444</v>
      </c>
    </row>
    <row r="83" spans="1:19" x14ac:dyDescent="0.2">
      <c r="A83" s="8">
        <v>40086</v>
      </c>
      <c r="B83" s="9">
        <v>1839</v>
      </c>
      <c r="C83" s="9">
        <v>215</v>
      </c>
      <c r="D83" s="9">
        <f t="shared" si="12"/>
        <v>1624</v>
      </c>
      <c r="E83" s="9">
        <v>1898</v>
      </c>
      <c r="F83" s="9">
        <v>233</v>
      </c>
      <c r="G83" s="9">
        <f t="shared" si="13"/>
        <v>1665</v>
      </c>
      <c r="H83" s="9">
        <v>733</v>
      </c>
      <c r="I83" s="9">
        <v>457</v>
      </c>
      <c r="J83" s="10">
        <f t="shared" si="14"/>
        <v>44.024024024024023</v>
      </c>
      <c r="K83" s="9">
        <v>332</v>
      </c>
      <c r="L83" s="9">
        <f>314</f>
        <v>314</v>
      </c>
      <c r="M83" s="9">
        <v>9</v>
      </c>
      <c r="N83" s="9">
        <f t="shared" si="18"/>
        <v>323</v>
      </c>
      <c r="O83" s="9">
        <f t="shared" si="15"/>
        <v>655</v>
      </c>
      <c r="P83" s="9">
        <v>277</v>
      </c>
      <c r="Q83" s="11">
        <f t="shared" si="19"/>
        <v>19.93993993993994</v>
      </c>
      <c r="R83" s="11">
        <f t="shared" si="16"/>
        <v>39.33933933933934</v>
      </c>
      <c r="S83" s="11">
        <f t="shared" si="17"/>
        <v>70.278969957081543</v>
      </c>
    </row>
    <row r="84" spans="1:19" x14ac:dyDescent="0.2">
      <c r="A84" s="8">
        <v>40117</v>
      </c>
      <c r="B84" s="9">
        <v>1958</v>
      </c>
      <c r="C84" s="9">
        <v>205</v>
      </c>
      <c r="D84" s="9">
        <f t="shared" si="12"/>
        <v>1753</v>
      </c>
      <c r="E84" s="9">
        <v>1943</v>
      </c>
      <c r="F84" s="9">
        <v>202</v>
      </c>
      <c r="G84" s="9">
        <f t="shared" si="13"/>
        <v>1741</v>
      </c>
      <c r="H84" s="9">
        <v>676</v>
      </c>
      <c r="I84" s="9">
        <v>439</v>
      </c>
      <c r="J84" s="10">
        <f t="shared" si="14"/>
        <v>38.828259620907524</v>
      </c>
      <c r="K84" s="9">
        <v>331</v>
      </c>
      <c r="L84" s="9">
        <f>458</f>
        <v>458</v>
      </c>
      <c r="M84" s="9">
        <v>7</v>
      </c>
      <c r="N84" s="9">
        <f t="shared" si="18"/>
        <v>465</v>
      </c>
      <c r="O84" s="9">
        <f t="shared" si="15"/>
        <v>796</v>
      </c>
      <c r="P84" s="9">
        <v>269</v>
      </c>
      <c r="Q84" s="11">
        <f t="shared" si="19"/>
        <v>19.012062033314187</v>
      </c>
      <c r="R84" s="11">
        <f t="shared" si="16"/>
        <v>45.720850086157384</v>
      </c>
      <c r="S84" s="11">
        <f t="shared" si="17"/>
        <v>74.741784037558688</v>
      </c>
    </row>
    <row r="85" spans="1:19" x14ac:dyDescent="0.2">
      <c r="A85" s="8">
        <v>40147</v>
      </c>
      <c r="B85" s="9">
        <v>1782</v>
      </c>
      <c r="C85" s="9">
        <v>172</v>
      </c>
      <c r="D85" s="9">
        <f t="shared" si="12"/>
        <v>1610</v>
      </c>
      <c r="E85" s="9">
        <v>1693</v>
      </c>
      <c r="F85" s="9">
        <v>187</v>
      </c>
      <c r="G85" s="9">
        <f t="shared" si="13"/>
        <v>1506</v>
      </c>
      <c r="H85" s="9">
        <v>541</v>
      </c>
      <c r="I85" s="9">
        <v>368</v>
      </c>
      <c r="J85" s="10">
        <f t="shared" si="14"/>
        <v>35.92297476759628</v>
      </c>
      <c r="K85" s="9">
        <v>302</v>
      </c>
      <c r="L85" s="9">
        <f>423</f>
        <v>423</v>
      </c>
      <c r="M85" s="9">
        <v>1</v>
      </c>
      <c r="N85" s="9">
        <f t="shared" si="18"/>
        <v>424</v>
      </c>
      <c r="O85" s="9">
        <f t="shared" si="15"/>
        <v>726</v>
      </c>
      <c r="P85" s="9">
        <v>239</v>
      </c>
      <c r="Q85" s="11">
        <f t="shared" si="19"/>
        <v>20.053120849933599</v>
      </c>
      <c r="R85" s="11">
        <f t="shared" si="16"/>
        <v>48.207171314741039</v>
      </c>
      <c r="S85" s="11">
        <f t="shared" si="17"/>
        <v>75.23316062176167</v>
      </c>
    </row>
    <row r="86" spans="1:19" x14ac:dyDescent="0.2">
      <c r="A86" s="4">
        <v>40178</v>
      </c>
      <c r="B86" s="5">
        <v>1934</v>
      </c>
      <c r="C86" s="5">
        <v>0</v>
      </c>
      <c r="D86" s="5">
        <f t="shared" si="12"/>
        <v>1934</v>
      </c>
      <c r="E86" s="5">
        <v>2327</v>
      </c>
      <c r="F86" s="5">
        <v>241</v>
      </c>
      <c r="G86" s="5">
        <f t="shared" si="13"/>
        <v>2086</v>
      </c>
      <c r="H86" s="5">
        <v>736</v>
      </c>
      <c r="I86" s="5">
        <v>478</v>
      </c>
      <c r="J86" s="6">
        <f t="shared" si="14"/>
        <v>35.282837967401726</v>
      </c>
      <c r="K86" s="5">
        <v>426</v>
      </c>
      <c r="L86" s="5">
        <f>547</f>
        <v>547</v>
      </c>
      <c r="M86" s="5">
        <v>24</v>
      </c>
      <c r="N86" s="5">
        <f t="shared" si="18"/>
        <v>571</v>
      </c>
      <c r="O86" s="5">
        <f t="shared" si="15"/>
        <v>997</v>
      </c>
      <c r="P86" s="5">
        <v>353</v>
      </c>
      <c r="Q86" s="7">
        <f t="shared" si="19"/>
        <v>20.421860019175455</v>
      </c>
      <c r="R86" s="7">
        <f t="shared" si="16"/>
        <v>47.794822627037391</v>
      </c>
      <c r="S86" s="7">
        <f t="shared" si="17"/>
        <v>73.851851851851848</v>
      </c>
    </row>
    <row r="87" spans="1:19" x14ac:dyDescent="0.2">
      <c r="A87" s="4">
        <v>40209</v>
      </c>
      <c r="B87" s="5">
        <v>1467</v>
      </c>
      <c r="C87" s="5">
        <v>6</v>
      </c>
      <c r="D87" s="5">
        <f t="shared" si="12"/>
        <v>1461</v>
      </c>
      <c r="E87" s="5">
        <v>2203</v>
      </c>
      <c r="F87" s="5">
        <v>185</v>
      </c>
      <c r="G87" s="5">
        <f t="shared" si="13"/>
        <v>2018</v>
      </c>
      <c r="H87" s="5">
        <v>494</v>
      </c>
      <c r="I87" s="5">
        <v>426</v>
      </c>
      <c r="J87" s="6">
        <f t="shared" si="14"/>
        <v>24.4796828543112</v>
      </c>
      <c r="K87" s="5">
        <v>465</v>
      </c>
      <c r="L87" s="5">
        <f>627</f>
        <v>627</v>
      </c>
      <c r="M87" s="5">
        <v>12</v>
      </c>
      <c r="N87" s="5">
        <f t="shared" si="18"/>
        <v>639</v>
      </c>
      <c r="O87" s="5">
        <f t="shared" si="15"/>
        <v>1104</v>
      </c>
      <c r="P87" s="5">
        <v>420</v>
      </c>
      <c r="Q87" s="7">
        <f t="shared" si="19"/>
        <v>23.042616451932606</v>
      </c>
      <c r="R87" s="7">
        <f t="shared" si="16"/>
        <v>54.707631318136777</v>
      </c>
      <c r="S87" s="7">
        <f t="shared" si="17"/>
        <v>72.440944881889763</v>
      </c>
    </row>
    <row r="88" spans="1:19" x14ac:dyDescent="0.2">
      <c r="A88" s="4">
        <v>40237</v>
      </c>
      <c r="B88" s="5">
        <v>1493</v>
      </c>
      <c r="C88" s="5">
        <v>25</v>
      </c>
      <c r="D88" s="5">
        <f t="shared" si="12"/>
        <v>1468</v>
      </c>
      <c r="E88" s="5">
        <v>2356</v>
      </c>
      <c r="F88" s="5">
        <v>222</v>
      </c>
      <c r="G88" s="5">
        <f t="shared" si="13"/>
        <v>2134</v>
      </c>
      <c r="H88" s="5">
        <v>478</v>
      </c>
      <c r="I88" s="5">
        <v>406</v>
      </c>
      <c r="J88" s="6">
        <f t="shared" si="14"/>
        <v>22.399250234301782</v>
      </c>
      <c r="K88" s="5">
        <v>562</v>
      </c>
      <c r="L88" s="5">
        <f>680</f>
        <v>680</v>
      </c>
      <c r="M88" s="5">
        <v>9</v>
      </c>
      <c r="N88" s="5">
        <f t="shared" si="18"/>
        <v>689</v>
      </c>
      <c r="O88" s="5">
        <f t="shared" si="15"/>
        <v>1251</v>
      </c>
      <c r="P88" s="5">
        <v>405</v>
      </c>
      <c r="Q88" s="7">
        <f t="shared" si="19"/>
        <v>26.33552014995314</v>
      </c>
      <c r="R88" s="7">
        <f t="shared" si="16"/>
        <v>58.622305529522023</v>
      </c>
      <c r="S88" s="7">
        <f t="shared" si="17"/>
        <v>75.543478260869563</v>
      </c>
    </row>
    <row r="89" spans="1:19" x14ac:dyDescent="0.2">
      <c r="A89" s="4">
        <v>40268</v>
      </c>
      <c r="B89" s="5">
        <v>1470</v>
      </c>
      <c r="C89" s="5">
        <v>41</v>
      </c>
      <c r="D89" s="5">
        <f t="shared" si="12"/>
        <v>1429</v>
      </c>
      <c r="E89" s="5">
        <v>2195</v>
      </c>
      <c r="F89" s="5">
        <v>202</v>
      </c>
      <c r="G89" s="5">
        <f t="shared" si="13"/>
        <v>1993</v>
      </c>
      <c r="H89" s="5">
        <v>489</v>
      </c>
      <c r="I89" s="5">
        <v>413</v>
      </c>
      <c r="J89" s="6">
        <f t="shared" si="14"/>
        <v>24.535875564475663</v>
      </c>
      <c r="K89" s="5">
        <v>443</v>
      </c>
      <c r="L89" s="5">
        <f>697</f>
        <v>697</v>
      </c>
      <c r="M89" s="5">
        <v>7</v>
      </c>
      <c r="N89" s="5">
        <f t="shared" si="18"/>
        <v>704</v>
      </c>
      <c r="O89" s="5">
        <f t="shared" si="15"/>
        <v>1147</v>
      </c>
      <c r="P89" s="5">
        <v>357</v>
      </c>
      <c r="Q89" s="7">
        <f t="shared" si="19"/>
        <v>22.227797290516811</v>
      </c>
      <c r="R89" s="7">
        <f t="shared" si="16"/>
        <v>57.551430005017558</v>
      </c>
      <c r="S89" s="7">
        <f t="shared" si="17"/>
        <v>76.263297872340431</v>
      </c>
    </row>
    <row r="90" spans="1:19" x14ac:dyDescent="0.2">
      <c r="A90" s="4">
        <v>40298</v>
      </c>
      <c r="B90" s="5">
        <v>1680</v>
      </c>
      <c r="C90" s="5">
        <v>48</v>
      </c>
      <c r="D90" s="5">
        <f t="shared" si="12"/>
        <v>1632</v>
      </c>
      <c r="E90" s="5">
        <v>2252</v>
      </c>
      <c r="F90" s="5">
        <v>221</v>
      </c>
      <c r="G90" s="5">
        <f t="shared" si="13"/>
        <v>2031</v>
      </c>
      <c r="H90" s="5">
        <v>454</v>
      </c>
      <c r="I90" s="5">
        <v>395</v>
      </c>
      <c r="J90" s="6">
        <f t="shared" si="14"/>
        <v>22.353520433284096</v>
      </c>
      <c r="K90" s="5">
        <v>462</v>
      </c>
      <c r="L90" s="5">
        <f>721</f>
        <v>721</v>
      </c>
      <c r="M90" s="5">
        <v>4</v>
      </c>
      <c r="N90" s="5">
        <f t="shared" si="18"/>
        <v>725</v>
      </c>
      <c r="O90" s="5">
        <f t="shared" si="15"/>
        <v>1187</v>
      </c>
      <c r="P90" s="5">
        <v>390</v>
      </c>
      <c r="Q90" s="7">
        <f t="shared" si="19"/>
        <v>22.747415066469721</v>
      </c>
      <c r="R90" s="7">
        <f t="shared" si="16"/>
        <v>58.444116198916788</v>
      </c>
      <c r="S90" s="7">
        <f t="shared" si="17"/>
        <v>75.269499048826887</v>
      </c>
    </row>
    <row r="91" spans="1:19" x14ac:dyDescent="0.2">
      <c r="A91" s="4">
        <v>40329</v>
      </c>
      <c r="B91" s="5">
        <v>2234</v>
      </c>
      <c r="C91" s="5">
        <v>87</v>
      </c>
      <c r="D91" s="5">
        <f t="shared" si="12"/>
        <v>2147</v>
      </c>
      <c r="E91" s="5">
        <v>2168</v>
      </c>
      <c r="F91" s="5">
        <v>208</v>
      </c>
      <c r="G91" s="5">
        <f t="shared" si="13"/>
        <v>1960</v>
      </c>
      <c r="H91" s="5">
        <v>308</v>
      </c>
      <c r="I91" s="5">
        <v>257</v>
      </c>
      <c r="J91" s="6">
        <f t="shared" si="14"/>
        <v>15.714285714285714</v>
      </c>
      <c r="K91" s="5">
        <v>554</v>
      </c>
      <c r="L91" s="5">
        <f>708</f>
        <v>708</v>
      </c>
      <c r="M91" s="5">
        <v>9</v>
      </c>
      <c r="N91" s="5">
        <f t="shared" si="18"/>
        <v>717</v>
      </c>
      <c r="O91" s="5">
        <f t="shared" si="15"/>
        <v>1271</v>
      </c>
      <c r="P91" s="5">
        <v>381</v>
      </c>
      <c r="Q91" s="7">
        <f t="shared" si="19"/>
        <v>28.26530612244898</v>
      </c>
      <c r="R91" s="7">
        <f t="shared" si="16"/>
        <v>64.846938775510196</v>
      </c>
      <c r="S91" s="7">
        <f t="shared" si="17"/>
        <v>76.937046004842614</v>
      </c>
    </row>
    <row r="92" spans="1:19" x14ac:dyDescent="0.2">
      <c r="A92" s="4">
        <v>40359</v>
      </c>
      <c r="B92" s="5">
        <v>2911</v>
      </c>
      <c r="C92" s="5">
        <v>93</v>
      </c>
      <c r="D92" s="5">
        <f t="shared" si="12"/>
        <v>2818</v>
      </c>
      <c r="E92" s="5">
        <v>2191</v>
      </c>
      <c r="F92" s="5">
        <v>236</v>
      </c>
      <c r="G92" s="5">
        <f t="shared" si="13"/>
        <v>1955</v>
      </c>
      <c r="H92" s="5">
        <v>358</v>
      </c>
      <c r="I92" s="5">
        <v>308</v>
      </c>
      <c r="J92" s="6">
        <f t="shared" si="14"/>
        <v>18.312020460358056</v>
      </c>
      <c r="K92" s="5">
        <v>553</v>
      </c>
      <c r="L92" s="5">
        <f>679</f>
        <v>679</v>
      </c>
      <c r="M92" s="5">
        <v>2</v>
      </c>
      <c r="N92" s="5">
        <f t="shared" si="18"/>
        <v>681</v>
      </c>
      <c r="O92" s="5">
        <f t="shared" si="15"/>
        <v>1234</v>
      </c>
      <c r="P92" s="5">
        <v>363</v>
      </c>
      <c r="Q92" s="7">
        <f t="shared" si="19"/>
        <v>28.286445012787727</v>
      </c>
      <c r="R92" s="7">
        <f t="shared" si="16"/>
        <v>63.120204603580568</v>
      </c>
      <c r="S92" s="7">
        <f t="shared" si="17"/>
        <v>77.269881026925475</v>
      </c>
    </row>
    <row r="93" spans="1:19" x14ac:dyDescent="0.2">
      <c r="A93" s="4">
        <v>40390</v>
      </c>
      <c r="B93" s="5">
        <v>2515</v>
      </c>
      <c r="C93" s="5">
        <v>92</v>
      </c>
      <c r="D93" s="5">
        <f t="shared" si="12"/>
        <v>2423</v>
      </c>
      <c r="E93" s="5">
        <v>1980</v>
      </c>
      <c r="F93" s="5">
        <v>182</v>
      </c>
      <c r="G93" s="5">
        <f t="shared" si="13"/>
        <v>1798</v>
      </c>
      <c r="H93" s="5">
        <v>392</v>
      </c>
      <c r="I93" s="5">
        <v>332</v>
      </c>
      <c r="J93" s="6">
        <f t="shared" si="14"/>
        <v>21.802002224694107</v>
      </c>
      <c r="K93" s="5">
        <v>453</v>
      </c>
      <c r="L93" s="5">
        <f>654</f>
        <v>654</v>
      </c>
      <c r="M93" s="5">
        <v>8</v>
      </c>
      <c r="N93" s="5">
        <f t="shared" si="18"/>
        <v>662</v>
      </c>
      <c r="O93" s="5">
        <f t="shared" si="15"/>
        <v>1115</v>
      </c>
      <c r="P93" s="5">
        <v>291</v>
      </c>
      <c r="Q93" s="7">
        <f t="shared" si="19"/>
        <v>25.194660734149053</v>
      </c>
      <c r="R93" s="7">
        <f t="shared" si="16"/>
        <v>62.013348164627367</v>
      </c>
      <c r="S93" s="7">
        <f t="shared" si="17"/>
        <v>79.302987197724036</v>
      </c>
    </row>
    <row r="94" spans="1:19" x14ac:dyDescent="0.2">
      <c r="A94" s="4">
        <v>40421</v>
      </c>
      <c r="B94" s="5">
        <v>2399</v>
      </c>
      <c r="C94" s="5">
        <v>83</v>
      </c>
      <c r="D94" s="5">
        <f t="shared" si="12"/>
        <v>2316</v>
      </c>
      <c r="E94" s="5">
        <v>2158</v>
      </c>
      <c r="F94" s="5">
        <v>179</v>
      </c>
      <c r="G94" s="5">
        <f t="shared" si="13"/>
        <v>1979</v>
      </c>
      <c r="H94" s="5">
        <v>541</v>
      </c>
      <c r="I94" s="5">
        <v>489</v>
      </c>
      <c r="J94" s="6">
        <f t="shared" si="14"/>
        <v>27.337038908539668</v>
      </c>
      <c r="K94" s="5">
        <v>510</v>
      </c>
      <c r="L94" s="5">
        <f>600</f>
        <v>600</v>
      </c>
      <c r="M94" s="5">
        <v>6</v>
      </c>
      <c r="N94" s="5">
        <f t="shared" si="18"/>
        <v>606</v>
      </c>
      <c r="O94" s="5">
        <f t="shared" si="15"/>
        <v>1116</v>
      </c>
      <c r="P94" s="5">
        <v>322</v>
      </c>
      <c r="Q94" s="7">
        <f t="shared" si="19"/>
        <v>25.770591207680649</v>
      </c>
      <c r="R94" s="7">
        <f t="shared" si="16"/>
        <v>56.392117230924711</v>
      </c>
      <c r="S94" s="7">
        <f t="shared" si="17"/>
        <v>77.607788595271217</v>
      </c>
    </row>
    <row r="95" spans="1:19" x14ac:dyDescent="0.2">
      <c r="A95" s="4">
        <v>40451</v>
      </c>
      <c r="B95" s="5">
        <v>2437</v>
      </c>
      <c r="C95" s="5">
        <v>78</v>
      </c>
      <c r="D95" s="5">
        <f t="shared" si="12"/>
        <v>2359</v>
      </c>
      <c r="E95" s="5">
        <v>2353</v>
      </c>
      <c r="F95" s="5">
        <v>182</v>
      </c>
      <c r="G95" s="5">
        <f t="shared" si="13"/>
        <v>2171</v>
      </c>
      <c r="H95" s="5">
        <v>609</v>
      </c>
      <c r="I95" s="5">
        <v>520</v>
      </c>
      <c r="J95" s="6">
        <f t="shared" si="14"/>
        <v>28.051589129433442</v>
      </c>
      <c r="K95" s="5">
        <v>556</v>
      </c>
      <c r="L95" s="5">
        <f>656</f>
        <v>656</v>
      </c>
      <c r="M95" s="5">
        <v>8</v>
      </c>
      <c r="N95" s="5">
        <f t="shared" si="18"/>
        <v>664</v>
      </c>
      <c r="O95" s="5">
        <f t="shared" si="15"/>
        <v>1220</v>
      </c>
      <c r="P95" s="5">
        <v>342</v>
      </c>
      <c r="Q95" s="7">
        <f t="shared" si="19"/>
        <v>25.610317825886685</v>
      </c>
      <c r="R95" s="7">
        <f t="shared" si="16"/>
        <v>56.195301704283743</v>
      </c>
      <c r="S95" s="7">
        <f t="shared" si="17"/>
        <v>78.104993597951349</v>
      </c>
    </row>
    <row r="96" spans="1:19" x14ac:dyDescent="0.2">
      <c r="A96" s="4">
        <v>40482</v>
      </c>
      <c r="B96" s="5">
        <v>1711</v>
      </c>
      <c r="C96" s="5">
        <v>73</v>
      </c>
      <c r="D96" s="5">
        <f t="shared" si="12"/>
        <v>1638</v>
      </c>
      <c r="E96" s="5">
        <v>1981</v>
      </c>
      <c r="F96" s="5">
        <v>251</v>
      </c>
      <c r="G96" s="5">
        <f t="shared" si="13"/>
        <v>1730</v>
      </c>
      <c r="H96" s="5">
        <v>326</v>
      </c>
      <c r="I96" s="5">
        <v>283</v>
      </c>
      <c r="J96" s="6">
        <f t="shared" si="14"/>
        <v>18.843930635838149</v>
      </c>
      <c r="K96" s="5">
        <v>548</v>
      </c>
      <c r="L96" s="5">
        <f>566</f>
        <v>566</v>
      </c>
      <c r="M96" s="5">
        <v>4</v>
      </c>
      <c r="N96" s="5">
        <f t="shared" si="18"/>
        <v>570</v>
      </c>
      <c r="O96" s="5">
        <f t="shared" si="15"/>
        <v>1118</v>
      </c>
      <c r="P96" s="5">
        <v>286</v>
      </c>
      <c r="Q96" s="7">
        <f t="shared" si="19"/>
        <v>31.676300578034684</v>
      </c>
      <c r="R96" s="7">
        <f t="shared" si="16"/>
        <v>64.624277456647391</v>
      </c>
      <c r="S96" s="7">
        <f t="shared" si="17"/>
        <v>79.629629629629633</v>
      </c>
    </row>
    <row r="97" spans="1:19" x14ac:dyDescent="0.2">
      <c r="A97" s="4">
        <v>40512</v>
      </c>
      <c r="B97" s="5">
        <v>1514</v>
      </c>
      <c r="C97" s="5">
        <v>74</v>
      </c>
      <c r="D97" s="5">
        <f t="shared" si="12"/>
        <v>1440</v>
      </c>
      <c r="E97" s="5">
        <v>2551</v>
      </c>
      <c r="F97" s="5">
        <v>195</v>
      </c>
      <c r="G97" s="5">
        <f t="shared" si="13"/>
        <v>2356</v>
      </c>
      <c r="H97" s="5">
        <v>592</v>
      </c>
      <c r="I97" s="5">
        <v>537</v>
      </c>
      <c r="J97" s="6">
        <f t="shared" si="14"/>
        <v>25.127334465195243</v>
      </c>
      <c r="K97" s="5">
        <v>667</v>
      </c>
      <c r="L97" s="5">
        <v>693</v>
      </c>
      <c r="M97" s="5">
        <v>3</v>
      </c>
      <c r="N97" s="5">
        <f t="shared" si="18"/>
        <v>696</v>
      </c>
      <c r="O97" s="5">
        <f t="shared" si="15"/>
        <v>1363</v>
      </c>
      <c r="P97" s="5">
        <v>401</v>
      </c>
      <c r="Q97" s="7">
        <f t="shared" si="19"/>
        <v>28.310696095076398</v>
      </c>
      <c r="R97" s="7">
        <f t="shared" si="16"/>
        <v>57.852292020373518</v>
      </c>
      <c r="S97" s="7">
        <f t="shared" si="17"/>
        <v>77.267573696145121</v>
      </c>
    </row>
    <row r="98" spans="1:19" x14ac:dyDescent="0.2">
      <c r="A98" s="8">
        <v>40543</v>
      </c>
      <c r="B98" s="9">
        <v>1565</v>
      </c>
      <c r="C98" s="9">
        <v>57</v>
      </c>
      <c r="D98" s="9">
        <f t="shared" si="12"/>
        <v>1508</v>
      </c>
      <c r="E98" s="9">
        <v>2420</v>
      </c>
      <c r="F98" s="9">
        <v>184</v>
      </c>
      <c r="G98" s="9">
        <f t="shared" si="13"/>
        <v>2236</v>
      </c>
      <c r="H98" s="9">
        <v>538</v>
      </c>
      <c r="I98" s="9">
        <v>485</v>
      </c>
      <c r="J98" s="10">
        <f t="shared" si="14"/>
        <v>24.0608228980322</v>
      </c>
      <c r="K98" s="9">
        <v>598</v>
      </c>
      <c r="L98" s="9">
        <v>752</v>
      </c>
      <c r="M98" s="9">
        <v>7</v>
      </c>
      <c r="N98" s="9">
        <f t="shared" si="18"/>
        <v>759</v>
      </c>
      <c r="O98" s="9">
        <f t="shared" si="15"/>
        <v>1357</v>
      </c>
      <c r="P98" s="9">
        <v>341</v>
      </c>
      <c r="Q98" s="11">
        <f t="shared" si="19"/>
        <v>26.744186046511626</v>
      </c>
      <c r="R98" s="11">
        <f t="shared" ref="R98:R119" si="20">(O98/G98)*100</f>
        <v>60.688729874776385</v>
      </c>
      <c r="S98" s="11">
        <f t="shared" si="17"/>
        <v>79.917550058892814</v>
      </c>
    </row>
    <row r="99" spans="1:19" x14ac:dyDescent="0.2">
      <c r="A99" s="8">
        <v>40574</v>
      </c>
      <c r="B99" s="9">
        <v>1424</v>
      </c>
      <c r="C99" s="9">
        <v>63</v>
      </c>
      <c r="D99" s="9">
        <f t="shared" si="12"/>
        <v>1361</v>
      </c>
      <c r="E99" s="9">
        <v>2358</v>
      </c>
      <c r="F99" s="9">
        <v>222</v>
      </c>
      <c r="G99" s="9">
        <f t="shared" si="13"/>
        <v>2136</v>
      </c>
      <c r="H99" s="9">
        <v>555</v>
      </c>
      <c r="I99" s="9">
        <v>523</v>
      </c>
      <c r="J99" s="10">
        <f t="shared" si="14"/>
        <v>25.983146067415731</v>
      </c>
      <c r="K99" s="9">
        <v>494</v>
      </c>
      <c r="L99" s="9">
        <v>719</v>
      </c>
      <c r="M99" s="9">
        <v>5</v>
      </c>
      <c r="N99" s="9">
        <f t="shared" si="18"/>
        <v>724</v>
      </c>
      <c r="O99" s="9">
        <f t="shared" si="15"/>
        <v>1218</v>
      </c>
      <c r="P99" s="9">
        <v>363</v>
      </c>
      <c r="Q99" s="11">
        <f t="shared" si="19"/>
        <v>23.127340823970037</v>
      </c>
      <c r="R99" s="11">
        <f t="shared" si="20"/>
        <v>57.022471910112358</v>
      </c>
      <c r="S99" s="11">
        <f t="shared" si="17"/>
        <v>77.039848197343446</v>
      </c>
    </row>
    <row r="100" spans="1:19" x14ac:dyDescent="0.2">
      <c r="A100" s="8">
        <v>40602</v>
      </c>
      <c r="B100" s="9">
        <v>1500</v>
      </c>
      <c r="C100" s="9">
        <v>48</v>
      </c>
      <c r="D100" s="9">
        <f t="shared" si="12"/>
        <v>1452</v>
      </c>
      <c r="E100" s="9">
        <v>2619</v>
      </c>
      <c r="F100" s="9">
        <v>308</v>
      </c>
      <c r="G100" s="9">
        <f t="shared" si="13"/>
        <v>2311</v>
      </c>
      <c r="H100" s="9">
        <v>579</v>
      </c>
      <c r="I100" s="9">
        <v>529</v>
      </c>
      <c r="J100" s="10">
        <f t="shared" si="14"/>
        <v>25.05408913890091</v>
      </c>
      <c r="K100" s="9">
        <v>578</v>
      </c>
      <c r="L100" s="9">
        <v>779</v>
      </c>
      <c r="M100" s="9">
        <v>9</v>
      </c>
      <c r="N100" s="9">
        <f t="shared" si="18"/>
        <v>788</v>
      </c>
      <c r="O100" s="9">
        <f t="shared" si="15"/>
        <v>1366</v>
      </c>
      <c r="P100" s="9">
        <v>366</v>
      </c>
      <c r="Q100" s="11">
        <f t="shared" si="19"/>
        <v>25.01081782778018</v>
      </c>
      <c r="R100" s="11">
        <f t="shared" si="20"/>
        <v>59.108610990913022</v>
      </c>
      <c r="S100" s="11">
        <f t="shared" si="17"/>
        <v>78.868360277136262</v>
      </c>
    </row>
    <row r="101" spans="1:19" x14ac:dyDescent="0.2">
      <c r="A101" s="8">
        <v>40633</v>
      </c>
      <c r="B101" s="9">
        <v>1376</v>
      </c>
      <c r="C101" s="9">
        <v>51</v>
      </c>
      <c r="D101" s="9">
        <f t="shared" si="12"/>
        <v>1325</v>
      </c>
      <c r="E101" s="9">
        <v>2384</v>
      </c>
      <c r="F101" s="9">
        <v>244</v>
      </c>
      <c r="G101" s="9">
        <f t="shared" si="13"/>
        <v>2140</v>
      </c>
      <c r="H101" s="9">
        <v>516</v>
      </c>
      <c r="I101" s="9">
        <v>464</v>
      </c>
      <c r="J101" s="10">
        <f t="shared" si="14"/>
        <v>24.11214953271028</v>
      </c>
      <c r="K101" s="9">
        <v>606</v>
      </c>
      <c r="L101" s="9">
        <v>685</v>
      </c>
      <c r="M101" s="9">
        <v>8</v>
      </c>
      <c r="N101" s="9">
        <f t="shared" si="18"/>
        <v>693</v>
      </c>
      <c r="O101" s="9">
        <f t="shared" si="15"/>
        <v>1299</v>
      </c>
      <c r="P101" s="9">
        <v>325</v>
      </c>
      <c r="Q101" s="11">
        <f t="shared" si="19"/>
        <v>28.317757009345794</v>
      </c>
      <c r="R101" s="11">
        <f t="shared" si="20"/>
        <v>60.700934579439249</v>
      </c>
      <c r="S101" s="11">
        <f t="shared" si="17"/>
        <v>79.987684729064028</v>
      </c>
    </row>
    <row r="102" spans="1:19" x14ac:dyDescent="0.2">
      <c r="A102" s="8">
        <v>40663</v>
      </c>
      <c r="B102" s="9">
        <v>2203</v>
      </c>
      <c r="C102" s="9">
        <v>58</v>
      </c>
      <c r="D102" s="9">
        <f t="shared" si="12"/>
        <v>2145</v>
      </c>
      <c r="E102" s="9">
        <v>2105</v>
      </c>
      <c r="F102" s="9">
        <v>256</v>
      </c>
      <c r="G102" s="9">
        <f t="shared" si="13"/>
        <v>1849</v>
      </c>
      <c r="H102" s="9">
        <v>311</v>
      </c>
      <c r="I102" s="9">
        <v>279</v>
      </c>
      <c r="J102" s="10">
        <f t="shared" si="14"/>
        <v>16.819902650081126</v>
      </c>
      <c r="K102" s="9">
        <v>655</v>
      </c>
      <c r="L102" s="9">
        <v>635</v>
      </c>
      <c r="M102" s="9">
        <v>5</v>
      </c>
      <c r="N102" s="9">
        <f t="shared" si="18"/>
        <v>640</v>
      </c>
      <c r="O102" s="9">
        <f t="shared" si="15"/>
        <v>1295</v>
      </c>
      <c r="P102" s="9">
        <v>243</v>
      </c>
      <c r="Q102" s="11">
        <f t="shared" si="19"/>
        <v>35.424553812871821</v>
      </c>
      <c r="R102" s="11">
        <f t="shared" si="20"/>
        <v>70.037858301784752</v>
      </c>
      <c r="S102" s="11">
        <f t="shared" si="17"/>
        <v>84.200260078023405</v>
      </c>
    </row>
    <row r="103" spans="1:19" x14ac:dyDescent="0.2">
      <c r="A103" s="8">
        <v>40694</v>
      </c>
      <c r="B103" s="9">
        <v>3805</v>
      </c>
      <c r="C103" s="9">
        <v>69</v>
      </c>
      <c r="D103" s="9">
        <f t="shared" si="12"/>
        <v>3736</v>
      </c>
      <c r="E103" s="9">
        <v>2275</v>
      </c>
      <c r="F103" s="9">
        <v>239</v>
      </c>
      <c r="G103" s="9">
        <f t="shared" si="13"/>
        <v>2036</v>
      </c>
      <c r="H103" s="9">
        <v>454</v>
      </c>
      <c r="I103" s="9">
        <v>393</v>
      </c>
      <c r="J103" s="10">
        <f t="shared" si="14"/>
        <v>22.29862475442043</v>
      </c>
      <c r="K103" s="9">
        <v>643</v>
      </c>
      <c r="L103" s="9">
        <v>663</v>
      </c>
      <c r="M103" s="9">
        <v>1</v>
      </c>
      <c r="N103" s="9">
        <f t="shared" si="18"/>
        <v>664</v>
      </c>
      <c r="O103" s="9">
        <f t="shared" si="15"/>
        <v>1307</v>
      </c>
      <c r="P103" s="9">
        <v>275</v>
      </c>
      <c r="Q103" s="11">
        <f t="shared" si="19"/>
        <v>31.581532416502945</v>
      </c>
      <c r="R103" s="11">
        <f t="shared" si="20"/>
        <v>64.194499017681721</v>
      </c>
      <c r="S103" s="11">
        <f t="shared" si="17"/>
        <v>82.616940581542352</v>
      </c>
    </row>
    <row r="104" spans="1:19" x14ac:dyDescent="0.2">
      <c r="A104" s="8">
        <v>40724</v>
      </c>
      <c r="B104" s="9">
        <v>3896</v>
      </c>
      <c r="C104" s="9">
        <v>53</v>
      </c>
      <c r="D104" s="9">
        <f t="shared" si="12"/>
        <v>3843</v>
      </c>
      <c r="E104" s="9">
        <v>2031</v>
      </c>
      <c r="F104" s="9">
        <v>140</v>
      </c>
      <c r="G104" s="9">
        <f t="shared" si="13"/>
        <v>1891</v>
      </c>
      <c r="H104" s="9">
        <v>504</v>
      </c>
      <c r="I104" s="9">
        <v>479</v>
      </c>
      <c r="J104" s="10">
        <f t="shared" si="14"/>
        <v>26.652564780539397</v>
      </c>
      <c r="K104" s="9">
        <v>536</v>
      </c>
      <c r="L104" s="9">
        <v>585</v>
      </c>
      <c r="M104" s="9">
        <v>3</v>
      </c>
      <c r="N104" s="9">
        <f t="shared" si="18"/>
        <v>588</v>
      </c>
      <c r="O104" s="9">
        <f t="shared" si="15"/>
        <v>1124</v>
      </c>
      <c r="P104" s="9">
        <v>263</v>
      </c>
      <c r="Q104" s="11">
        <f t="shared" si="19"/>
        <v>28.344791115811741</v>
      </c>
      <c r="R104" s="11">
        <f t="shared" si="20"/>
        <v>59.43945002644103</v>
      </c>
      <c r="S104" s="11">
        <f t="shared" si="17"/>
        <v>81.038211968276855</v>
      </c>
    </row>
    <row r="105" spans="1:19" x14ac:dyDescent="0.2">
      <c r="A105" s="8">
        <v>40755</v>
      </c>
      <c r="B105" s="9">
        <v>3899</v>
      </c>
      <c r="C105" s="9">
        <v>49</v>
      </c>
      <c r="D105" s="9">
        <f t="shared" si="12"/>
        <v>3850</v>
      </c>
      <c r="E105" s="9">
        <v>2095</v>
      </c>
      <c r="F105" s="9">
        <v>172</v>
      </c>
      <c r="G105" s="9">
        <f t="shared" si="13"/>
        <v>1923</v>
      </c>
      <c r="H105" s="9">
        <v>668</v>
      </c>
      <c r="I105" s="9">
        <v>649</v>
      </c>
      <c r="J105" s="10">
        <f t="shared" si="14"/>
        <v>34.737389495579826</v>
      </c>
      <c r="K105" s="9">
        <v>462</v>
      </c>
      <c r="L105" s="9">
        <v>525</v>
      </c>
      <c r="M105" s="9">
        <v>5</v>
      </c>
      <c r="N105" s="9">
        <f t="shared" si="18"/>
        <v>530</v>
      </c>
      <c r="O105" s="9">
        <f t="shared" si="15"/>
        <v>992</v>
      </c>
      <c r="P105" s="9">
        <v>263</v>
      </c>
      <c r="Q105" s="11">
        <f t="shared" si="19"/>
        <v>24.024960998439937</v>
      </c>
      <c r="R105" s="11">
        <f t="shared" si="20"/>
        <v>51.5860634425377</v>
      </c>
      <c r="S105" s="11">
        <f t="shared" si="17"/>
        <v>79.04382470119522</v>
      </c>
    </row>
    <row r="106" spans="1:19" x14ac:dyDescent="0.2">
      <c r="A106" s="8">
        <v>40786</v>
      </c>
      <c r="B106" s="9">
        <v>4544</v>
      </c>
      <c r="C106" s="9">
        <v>38</v>
      </c>
      <c r="D106" s="9">
        <f t="shared" si="12"/>
        <v>4506</v>
      </c>
      <c r="E106" s="9">
        <v>2953</v>
      </c>
      <c r="F106" s="9">
        <v>181</v>
      </c>
      <c r="G106" s="9">
        <f t="shared" si="13"/>
        <v>2772</v>
      </c>
      <c r="H106" s="9">
        <v>1425</v>
      </c>
      <c r="I106" s="9">
        <v>1390</v>
      </c>
      <c r="J106" s="10">
        <f t="shared" si="14"/>
        <v>51.406926406926409</v>
      </c>
      <c r="K106" s="9">
        <v>463</v>
      </c>
      <c r="L106" s="9">
        <v>503</v>
      </c>
      <c r="M106" s="9">
        <v>3</v>
      </c>
      <c r="N106" s="9">
        <f t="shared" si="18"/>
        <v>506</v>
      </c>
      <c r="O106" s="9">
        <f t="shared" si="15"/>
        <v>969</v>
      </c>
      <c r="P106" s="9">
        <v>378</v>
      </c>
      <c r="Q106" s="11">
        <f t="shared" si="19"/>
        <v>16.702741702741701</v>
      </c>
      <c r="R106" s="11">
        <f t="shared" si="20"/>
        <v>34.956709956709958</v>
      </c>
      <c r="S106" s="11">
        <f t="shared" si="17"/>
        <v>71.937639198218264</v>
      </c>
    </row>
    <row r="107" spans="1:19" x14ac:dyDescent="0.2">
      <c r="A107" s="8">
        <v>40816</v>
      </c>
      <c r="B107" s="9">
        <v>4750</v>
      </c>
      <c r="C107" s="9">
        <v>28</v>
      </c>
      <c r="D107" s="9">
        <f t="shared" si="12"/>
        <v>4722</v>
      </c>
      <c r="E107" s="9">
        <v>2193</v>
      </c>
      <c r="F107" s="9">
        <v>214</v>
      </c>
      <c r="G107" s="9">
        <f t="shared" si="13"/>
        <v>1979</v>
      </c>
      <c r="H107" s="9">
        <v>836</v>
      </c>
      <c r="I107" s="9">
        <v>814</v>
      </c>
      <c r="J107" s="10">
        <f t="shared" si="14"/>
        <v>42.243557352198081</v>
      </c>
      <c r="K107" s="9">
        <v>434</v>
      </c>
      <c r="L107" s="9">
        <v>427</v>
      </c>
      <c r="M107" s="9">
        <v>6</v>
      </c>
      <c r="N107" s="9">
        <f t="shared" si="18"/>
        <v>433</v>
      </c>
      <c r="O107" s="9">
        <f t="shared" si="15"/>
        <v>867</v>
      </c>
      <c r="P107" s="9">
        <v>276</v>
      </c>
      <c r="Q107" s="11">
        <f t="shared" si="19"/>
        <v>21.930267812026276</v>
      </c>
      <c r="R107" s="11">
        <f t="shared" si="20"/>
        <v>43.810005053057097</v>
      </c>
      <c r="S107" s="11">
        <f t="shared" si="17"/>
        <v>75.853018372703403</v>
      </c>
    </row>
    <row r="108" spans="1:19" x14ac:dyDescent="0.2">
      <c r="A108" s="8">
        <v>40847</v>
      </c>
      <c r="B108" s="9">
        <v>5691</v>
      </c>
      <c r="C108" s="9">
        <v>54</v>
      </c>
      <c r="D108" s="9">
        <f t="shared" si="12"/>
        <v>5637</v>
      </c>
      <c r="E108" s="9">
        <v>2365</v>
      </c>
      <c r="F108" s="9">
        <v>285</v>
      </c>
      <c r="G108" s="9">
        <f t="shared" si="13"/>
        <v>2080</v>
      </c>
      <c r="H108" s="9">
        <v>1012</v>
      </c>
      <c r="I108" s="9">
        <v>975</v>
      </c>
      <c r="J108" s="10">
        <f t="shared" si="14"/>
        <v>48.653846153846153</v>
      </c>
      <c r="K108" s="9">
        <v>454</v>
      </c>
      <c r="L108" s="9">
        <v>382</v>
      </c>
      <c r="M108" s="9">
        <v>6</v>
      </c>
      <c r="N108" s="9">
        <f t="shared" si="18"/>
        <v>388</v>
      </c>
      <c r="O108" s="9">
        <f t="shared" si="15"/>
        <v>842</v>
      </c>
      <c r="P108" s="9">
        <v>226</v>
      </c>
      <c r="Q108" s="11">
        <f t="shared" si="19"/>
        <v>21.826923076923077</v>
      </c>
      <c r="R108" s="11">
        <f t="shared" si="20"/>
        <v>40.480769230769234</v>
      </c>
      <c r="S108" s="11">
        <f t="shared" si="17"/>
        <v>78.838951310861432</v>
      </c>
    </row>
    <row r="109" spans="1:19" x14ac:dyDescent="0.2">
      <c r="A109" s="8">
        <v>40877</v>
      </c>
      <c r="B109" s="9">
        <v>4870</v>
      </c>
      <c r="C109" s="9">
        <v>44</v>
      </c>
      <c r="D109" s="9">
        <f t="shared" si="12"/>
        <v>4826</v>
      </c>
      <c r="E109" s="9">
        <v>2320</v>
      </c>
      <c r="F109" s="9">
        <v>273</v>
      </c>
      <c r="G109" s="9">
        <f t="shared" si="13"/>
        <v>2047</v>
      </c>
      <c r="H109" s="9">
        <v>964</v>
      </c>
      <c r="I109" s="9">
        <v>935</v>
      </c>
      <c r="J109" s="10">
        <f t="shared" si="14"/>
        <v>47.093307278944799</v>
      </c>
      <c r="K109" s="9">
        <v>454</v>
      </c>
      <c r="L109" s="9">
        <v>395</v>
      </c>
      <c r="M109" s="9">
        <v>1</v>
      </c>
      <c r="N109" s="9">
        <f t="shared" si="18"/>
        <v>396</v>
      </c>
      <c r="O109" s="9">
        <f t="shared" si="15"/>
        <v>850</v>
      </c>
      <c r="P109" s="9">
        <v>233</v>
      </c>
      <c r="Q109" s="11">
        <f t="shared" si="19"/>
        <v>22.178798241328774</v>
      </c>
      <c r="R109" s="11">
        <f t="shared" si="20"/>
        <v>41.524181729360038</v>
      </c>
      <c r="S109" s="11">
        <f t="shared" si="17"/>
        <v>78.485687903970444</v>
      </c>
    </row>
    <row r="110" spans="1:19" x14ac:dyDescent="0.2">
      <c r="A110" s="4">
        <v>40908</v>
      </c>
      <c r="B110" s="5">
        <v>3618</v>
      </c>
      <c r="C110" s="5">
        <v>37</v>
      </c>
      <c r="D110" s="5">
        <f t="shared" si="12"/>
        <v>3581</v>
      </c>
      <c r="E110" s="5">
        <v>2429</v>
      </c>
      <c r="F110" s="5">
        <v>325</v>
      </c>
      <c r="G110" s="5">
        <f t="shared" si="13"/>
        <v>2104</v>
      </c>
      <c r="H110" s="5">
        <v>887</v>
      </c>
      <c r="I110" s="5">
        <v>848</v>
      </c>
      <c r="J110" s="6">
        <f t="shared" si="14"/>
        <v>42.157794676806084</v>
      </c>
      <c r="K110" s="5">
        <v>466</v>
      </c>
      <c r="L110" s="5">
        <v>491</v>
      </c>
      <c r="M110" s="5">
        <v>3</v>
      </c>
      <c r="N110" s="5">
        <f t="shared" si="18"/>
        <v>494</v>
      </c>
      <c r="O110" s="5">
        <f t="shared" si="15"/>
        <v>960</v>
      </c>
      <c r="P110" s="5">
        <v>257</v>
      </c>
      <c r="Q110" s="7">
        <f t="shared" si="19"/>
        <v>22.14828897338403</v>
      </c>
      <c r="R110" s="7">
        <f t="shared" si="20"/>
        <v>45.627376425855516</v>
      </c>
      <c r="S110" s="7">
        <f t="shared" si="17"/>
        <v>78.882497945768279</v>
      </c>
    </row>
    <row r="111" spans="1:19" x14ac:dyDescent="0.2">
      <c r="A111" s="4">
        <v>40939</v>
      </c>
      <c r="B111" s="5">
        <v>2705</v>
      </c>
      <c r="C111" s="5">
        <v>78</v>
      </c>
      <c r="D111" s="5">
        <f t="shared" si="12"/>
        <v>2627</v>
      </c>
      <c r="E111" s="5">
        <v>2845</v>
      </c>
      <c r="F111" s="5">
        <v>332</v>
      </c>
      <c r="G111" s="5">
        <f t="shared" si="13"/>
        <v>2513</v>
      </c>
      <c r="H111" s="5">
        <v>1044</v>
      </c>
      <c r="I111" s="5">
        <v>1006</v>
      </c>
      <c r="J111" s="6">
        <f t="shared" si="14"/>
        <v>41.543971348985274</v>
      </c>
      <c r="K111" s="5">
        <v>583</v>
      </c>
      <c r="L111" s="5">
        <v>589</v>
      </c>
      <c r="M111" s="5">
        <v>3</v>
      </c>
      <c r="N111" s="5">
        <f t="shared" si="18"/>
        <v>592</v>
      </c>
      <c r="O111" s="5">
        <f t="shared" si="15"/>
        <v>1175</v>
      </c>
      <c r="P111" s="5">
        <v>294</v>
      </c>
      <c r="Q111" s="7">
        <f t="shared" si="19"/>
        <v>23.199363310783923</v>
      </c>
      <c r="R111" s="7">
        <f t="shared" si="20"/>
        <v>46.756864305610826</v>
      </c>
      <c r="S111" s="7">
        <f t="shared" si="17"/>
        <v>79.986385296119806</v>
      </c>
    </row>
    <row r="112" spans="1:19" x14ac:dyDescent="0.2">
      <c r="A112" s="4">
        <v>40968</v>
      </c>
      <c r="B112" s="5">
        <v>1992</v>
      </c>
      <c r="C112" s="5">
        <v>39</v>
      </c>
      <c r="D112" s="5">
        <f t="shared" si="12"/>
        <v>1953</v>
      </c>
      <c r="E112" s="5">
        <v>2702</v>
      </c>
      <c r="F112" s="5">
        <v>336</v>
      </c>
      <c r="G112" s="5">
        <f t="shared" si="13"/>
        <v>2366</v>
      </c>
      <c r="H112" s="5">
        <v>907</v>
      </c>
      <c r="I112" s="5">
        <v>875</v>
      </c>
      <c r="J112" s="6">
        <f t="shared" si="14"/>
        <v>38.334742180896022</v>
      </c>
      <c r="K112" s="5">
        <v>609</v>
      </c>
      <c r="L112" s="5">
        <v>558</v>
      </c>
      <c r="M112" s="5">
        <v>1</v>
      </c>
      <c r="N112" s="5">
        <f t="shared" si="18"/>
        <v>559</v>
      </c>
      <c r="O112" s="5">
        <f t="shared" si="15"/>
        <v>1168</v>
      </c>
      <c r="P112" s="5">
        <v>291</v>
      </c>
      <c r="Q112" s="7">
        <f t="shared" si="19"/>
        <v>25.739644970414201</v>
      </c>
      <c r="R112" s="7">
        <f t="shared" si="20"/>
        <v>49.366018596787825</v>
      </c>
      <c r="S112" s="7">
        <f t="shared" si="17"/>
        <v>80.05483207676491</v>
      </c>
    </row>
    <row r="113" spans="1:19" x14ac:dyDescent="0.2">
      <c r="A113" s="4">
        <v>40999</v>
      </c>
      <c r="B113" s="5">
        <v>1748</v>
      </c>
      <c r="C113" s="5">
        <v>56</v>
      </c>
      <c r="D113" s="5">
        <f t="shared" si="12"/>
        <v>1692</v>
      </c>
      <c r="E113" s="5">
        <v>2815</v>
      </c>
      <c r="F113" s="5">
        <v>453</v>
      </c>
      <c r="G113" s="5">
        <f t="shared" si="13"/>
        <v>2362</v>
      </c>
      <c r="H113" s="5">
        <v>823</v>
      </c>
      <c r="I113" s="5">
        <v>781</v>
      </c>
      <c r="J113" s="6">
        <f t="shared" si="14"/>
        <v>34.843353090601184</v>
      </c>
      <c r="K113" s="5">
        <v>562</v>
      </c>
      <c r="L113" s="5">
        <v>596</v>
      </c>
      <c r="M113" s="5">
        <v>1</v>
      </c>
      <c r="N113" s="5">
        <f t="shared" si="18"/>
        <v>597</v>
      </c>
      <c r="O113" s="5">
        <f t="shared" si="15"/>
        <v>1159</v>
      </c>
      <c r="P113" s="5">
        <v>380</v>
      </c>
      <c r="Q113" s="7">
        <f t="shared" si="19"/>
        <v>23.793395427603727</v>
      </c>
      <c r="R113" s="7">
        <f t="shared" si="20"/>
        <v>49.068585944115156</v>
      </c>
      <c r="S113" s="7">
        <f t="shared" si="17"/>
        <v>75.308641975308646</v>
      </c>
    </row>
    <row r="114" spans="1:19" x14ac:dyDescent="0.2">
      <c r="A114" s="4">
        <v>41029</v>
      </c>
      <c r="B114" s="5">
        <v>1885</v>
      </c>
      <c r="C114" s="5">
        <v>33</v>
      </c>
      <c r="D114" s="5">
        <f t="shared" si="12"/>
        <v>1852</v>
      </c>
      <c r="E114" s="5">
        <v>2493</v>
      </c>
      <c r="F114" s="5">
        <v>429</v>
      </c>
      <c r="G114" s="5">
        <f t="shared" si="13"/>
        <v>2064</v>
      </c>
      <c r="H114" s="5">
        <v>692</v>
      </c>
      <c r="I114" s="5">
        <v>630</v>
      </c>
      <c r="J114" s="6">
        <f t="shared" si="14"/>
        <v>33.527131782945737</v>
      </c>
      <c r="K114" s="5">
        <v>483</v>
      </c>
      <c r="L114" s="5">
        <v>523</v>
      </c>
      <c r="M114" s="5">
        <v>0</v>
      </c>
      <c r="N114" s="5">
        <f t="shared" si="18"/>
        <v>523</v>
      </c>
      <c r="O114" s="5">
        <f t="shared" si="15"/>
        <v>1006</v>
      </c>
      <c r="P114" s="5">
        <v>366</v>
      </c>
      <c r="Q114" s="7">
        <f t="shared" si="19"/>
        <v>23.401162790697676</v>
      </c>
      <c r="R114" s="7">
        <f t="shared" si="20"/>
        <v>48.740310077519375</v>
      </c>
      <c r="S114" s="7">
        <f t="shared" si="17"/>
        <v>73.32361516034986</v>
      </c>
    </row>
    <row r="115" spans="1:19" x14ac:dyDescent="0.2">
      <c r="A115" s="23">
        <v>41060</v>
      </c>
      <c r="B115" s="21">
        <v>2329</v>
      </c>
      <c r="C115" s="21">
        <v>37</v>
      </c>
      <c r="D115" s="5">
        <f t="shared" si="12"/>
        <v>2292</v>
      </c>
      <c r="E115" s="21">
        <v>2728</v>
      </c>
      <c r="F115" s="21">
        <v>528</v>
      </c>
      <c r="G115" s="5">
        <f t="shared" si="13"/>
        <v>2200</v>
      </c>
      <c r="H115" s="21">
        <v>645</v>
      </c>
      <c r="I115" s="21">
        <v>585</v>
      </c>
      <c r="J115" s="6">
        <f t="shared" si="14"/>
        <v>29.318181818181817</v>
      </c>
      <c r="K115" s="21">
        <v>549</v>
      </c>
      <c r="L115" s="21">
        <v>586</v>
      </c>
      <c r="M115" s="21">
        <v>2</v>
      </c>
      <c r="N115" s="5">
        <f t="shared" si="18"/>
        <v>588</v>
      </c>
      <c r="O115" s="5">
        <f t="shared" si="15"/>
        <v>1137</v>
      </c>
      <c r="P115" s="21">
        <v>418</v>
      </c>
      <c r="Q115" s="7">
        <f t="shared" si="19"/>
        <v>24.954545454545453</v>
      </c>
      <c r="R115" s="7">
        <f t="shared" si="20"/>
        <v>51.681818181818187</v>
      </c>
      <c r="S115" s="7">
        <f t="shared" si="17"/>
        <v>73.118971061093248</v>
      </c>
    </row>
    <row r="116" spans="1:19" x14ac:dyDescent="0.2">
      <c r="A116" s="4">
        <v>41090</v>
      </c>
      <c r="B116" s="5">
        <v>2477</v>
      </c>
      <c r="C116" s="5">
        <v>43</v>
      </c>
      <c r="D116" s="5">
        <f t="shared" si="12"/>
        <v>2434</v>
      </c>
      <c r="E116" s="5">
        <v>2378</v>
      </c>
      <c r="F116" s="5">
        <v>495</v>
      </c>
      <c r="G116" s="5">
        <f t="shared" si="13"/>
        <v>1883</v>
      </c>
      <c r="H116" s="5">
        <v>656</v>
      </c>
      <c r="I116" s="5">
        <v>632</v>
      </c>
      <c r="J116" s="6">
        <f t="shared" si="14"/>
        <v>34.838024429102497</v>
      </c>
      <c r="K116" s="5">
        <v>406</v>
      </c>
      <c r="L116" s="5">
        <v>456</v>
      </c>
      <c r="M116" s="5">
        <v>0</v>
      </c>
      <c r="N116" s="5">
        <f t="shared" si="18"/>
        <v>456</v>
      </c>
      <c r="O116" s="5">
        <f t="shared" si="15"/>
        <v>862</v>
      </c>
      <c r="P116" s="5">
        <v>365</v>
      </c>
      <c r="Q116" s="7">
        <f t="shared" si="19"/>
        <v>21.561338289962826</v>
      </c>
      <c r="R116" s="7">
        <f t="shared" si="20"/>
        <v>45.778013807753588</v>
      </c>
      <c r="S116" s="7">
        <f t="shared" si="17"/>
        <v>70.252648736756313</v>
      </c>
    </row>
    <row r="117" spans="1:19" x14ac:dyDescent="0.2">
      <c r="A117" s="4">
        <v>41121</v>
      </c>
      <c r="B117" s="5">
        <v>2443</v>
      </c>
      <c r="C117" s="5">
        <v>55</v>
      </c>
      <c r="D117" s="5">
        <f t="shared" si="12"/>
        <v>2388</v>
      </c>
      <c r="E117" s="5">
        <v>2501</v>
      </c>
      <c r="F117" s="5">
        <v>453</v>
      </c>
      <c r="G117" s="5">
        <f t="shared" si="13"/>
        <v>2048</v>
      </c>
      <c r="H117" s="5">
        <v>677</v>
      </c>
      <c r="I117" s="5">
        <v>641</v>
      </c>
      <c r="J117" s="6">
        <f t="shared" si="14"/>
        <v>33.056640625</v>
      </c>
      <c r="K117" s="5">
        <v>425</v>
      </c>
      <c r="L117" s="5">
        <v>558</v>
      </c>
      <c r="M117" s="5">
        <v>9</v>
      </c>
      <c r="N117" s="5">
        <f t="shared" si="18"/>
        <v>567</v>
      </c>
      <c r="O117" s="5">
        <f t="shared" si="15"/>
        <v>992</v>
      </c>
      <c r="P117" s="5">
        <v>379</v>
      </c>
      <c r="Q117" s="7">
        <f t="shared" si="19"/>
        <v>20.751953125</v>
      </c>
      <c r="R117" s="7">
        <f t="shared" si="20"/>
        <v>48.4375</v>
      </c>
      <c r="S117" s="7">
        <f t="shared" si="17"/>
        <v>72.355944566010209</v>
      </c>
    </row>
    <row r="118" spans="1:19" x14ac:dyDescent="0.2">
      <c r="A118" s="4">
        <v>41152</v>
      </c>
      <c r="B118" s="5">
        <v>2185</v>
      </c>
      <c r="C118" s="5">
        <v>48</v>
      </c>
      <c r="D118" s="5">
        <f t="shared" si="12"/>
        <v>2137</v>
      </c>
      <c r="E118" s="5">
        <v>2583</v>
      </c>
      <c r="F118" s="22">
        <v>442</v>
      </c>
      <c r="G118" s="5">
        <f t="shared" si="13"/>
        <v>2141</v>
      </c>
      <c r="H118" s="5">
        <v>728</v>
      </c>
      <c r="I118" s="5">
        <v>691</v>
      </c>
      <c r="J118" s="6">
        <f t="shared" si="14"/>
        <v>34.002802428771602</v>
      </c>
      <c r="K118" s="5">
        <v>457</v>
      </c>
      <c r="L118" s="5">
        <v>562</v>
      </c>
      <c r="M118" s="5">
        <v>5</v>
      </c>
      <c r="N118" s="5">
        <f t="shared" si="18"/>
        <v>567</v>
      </c>
      <c r="O118" s="5">
        <f t="shared" si="15"/>
        <v>1024</v>
      </c>
      <c r="P118" s="5">
        <v>389</v>
      </c>
      <c r="Q118" s="7">
        <f t="shared" si="19"/>
        <v>21.345165810368986</v>
      </c>
      <c r="R118" s="7">
        <f t="shared" si="20"/>
        <v>47.828117702008406</v>
      </c>
      <c r="S118" s="7">
        <f>O118/(G118-H118)*100</f>
        <v>72.469922151450817</v>
      </c>
    </row>
    <row r="119" spans="1:19" x14ac:dyDescent="0.2">
      <c r="A119" s="4">
        <v>41182</v>
      </c>
      <c r="B119" s="5">
        <v>2096</v>
      </c>
      <c r="C119" s="5">
        <v>40</v>
      </c>
      <c r="D119" s="5">
        <f t="shared" si="12"/>
        <v>2056</v>
      </c>
      <c r="E119" s="5">
        <v>2325</v>
      </c>
      <c r="F119" s="5">
        <v>354</v>
      </c>
      <c r="G119" s="5">
        <f t="shared" si="13"/>
        <v>1971</v>
      </c>
      <c r="H119" s="5">
        <v>710</v>
      </c>
      <c r="I119" s="5">
        <v>671</v>
      </c>
      <c r="J119" s="6">
        <f t="shared" si="14"/>
        <v>36.022323693556565</v>
      </c>
      <c r="K119" s="5">
        <v>408</v>
      </c>
      <c r="L119" s="5">
        <v>526</v>
      </c>
      <c r="M119" s="5">
        <v>10</v>
      </c>
      <c r="N119" s="5">
        <f t="shared" si="18"/>
        <v>536</v>
      </c>
      <c r="O119" s="5">
        <f t="shared" si="15"/>
        <v>944</v>
      </c>
      <c r="P119" s="5">
        <v>317</v>
      </c>
      <c r="Q119" s="7">
        <f t="shared" si="19"/>
        <v>20.700152207001523</v>
      </c>
      <c r="R119" s="7">
        <f t="shared" si="20"/>
        <v>47.894469812278032</v>
      </c>
      <c r="S119" s="7">
        <f>O119/(G119-H119)*100</f>
        <v>74.861221252973834</v>
      </c>
    </row>
    <row r="120" spans="1:19" x14ac:dyDescent="0.2">
      <c r="A120" s="4">
        <v>41213</v>
      </c>
      <c r="B120" s="5">
        <v>1963</v>
      </c>
      <c r="C120" s="5">
        <v>53</v>
      </c>
      <c r="D120" s="5">
        <f t="shared" si="12"/>
        <v>1910</v>
      </c>
      <c r="E120" s="5">
        <v>2749</v>
      </c>
      <c r="F120" s="5">
        <v>406</v>
      </c>
      <c r="G120" s="5">
        <f t="shared" si="13"/>
        <v>2343</v>
      </c>
      <c r="H120" s="5">
        <v>800</v>
      </c>
      <c r="I120" s="5">
        <v>758</v>
      </c>
      <c r="J120" s="6">
        <f>(H120/G120)*100</f>
        <v>34.144259496372172</v>
      </c>
      <c r="K120" s="5">
        <v>474</v>
      </c>
      <c r="L120" s="5">
        <v>671</v>
      </c>
      <c r="M120" s="5">
        <v>7</v>
      </c>
      <c r="N120" s="5">
        <f t="shared" si="18"/>
        <v>678</v>
      </c>
      <c r="O120" s="5">
        <f t="shared" ref="O120:O125" si="21">K120+N120</f>
        <v>1152</v>
      </c>
      <c r="P120" s="5">
        <v>391</v>
      </c>
      <c r="Q120" s="7">
        <f>(K120/G120)*100</f>
        <v>20.23047375160051</v>
      </c>
      <c r="R120" s="7">
        <f>(O120/G120)*100</f>
        <v>49.167733674775924</v>
      </c>
      <c r="S120" s="7">
        <f>O120/(G120-H120)*100</f>
        <v>74.659753726506807</v>
      </c>
    </row>
    <row r="121" spans="1:19" x14ac:dyDescent="0.2">
      <c r="A121" s="4">
        <v>41243</v>
      </c>
      <c r="B121" s="5">
        <v>1766</v>
      </c>
      <c r="C121" s="5">
        <v>51</v>
      </c>
      <c r="D121" s="5">
        <f>B121-C121</f>
        <v>1715</v>
      </c>
      <c r="E121" s="5">
        <v>2751</v>
      </c>
      <c r="F121" s="5">
        <v>385</v>
      </c>
      <c r="G121" s="5">
        <f t="shared" ref="G121:G127" si="22">E121-F121</f>
        <v>2366</v>
      </c>
      <c r="H121" s="5">
        <v>776</v>
      </c>
      <c r="I121" s="5">
        <v>756</v>
      </c>
      <c r="J121" s="6">
        <f t="shared" ref="J121:J123" si="23">(H121/G121)*100</f>
        <v>32.797971259509723</v>
      </c>
      <c r="K121" s="5">
        <v>563</v>
      </c>
      <c r="L121" s="5">
        <v>686</v>
      </c>
      <c r="M121" s="5">
        <v>7</v>
      </c>
      <c r="N121" s="5">
        <f t="shared" ref="N121:N129" si="24">L121+M121</f>
        <v>693</v>
      </c>
      <c r="O121" s="5">
        <f t="shared" si="21"/>
        <v>1256</v>
      </c>
      <c r="P121" s="5">
        <v>334</v>
      </c>
      <c r="Q121" s="7">
        <f t="shared" ref="Q121:Q123" si="25">(K121/G121)*100</f>
        <v>23.795435333896872</v>
      </c>
      <c r="R121" s="7">
        <f>(K121+N121)/(G121)*100</f>
        <v>53.085376162299234</v>
      </c>
      <c r="S121" s="7">
        <f t="shared" ref="S121:S123" si="26">(K121+N121)/(G121-H121)*100</f>
        <v>78.993710691823907</v>
      </c>
    </row>
    <row r="122" spans="1:19" x14ac:dyDescent="0.2">
      <c r="A122" s="8">
        <v>41274</v>
      </c>
      <c r="B122" s="9">
        <v>1588</v>
      </c>
      <c r="C122" s="9">
        <v>39</v>
      </c>
      <c r="D122" s="9">
        <f>B122-C122</f>
        <v>1549</v>
      </c>
      <c r="E122" s="9">
        <v>2625</v>
      </c>
      <c r="F122" s="9">
        <v>395</v>
      </c>
      <c r="G122" s="9">
        <f t="shared" si="22"/>
        <v>2230</v>
      </c>
      <c r="H122" s="9">
        <v>705</v>
      </c>
      <c r="I122" s="9">
        <v>680</v>
      </c>
      <c r="J122" s="10">
        <f t="shared" si="23"/>
        <v>31.614349775784756</v>
      </c>
      <c r="K122" s="9">
        <v>533</v>
      </c>
      <c r="L122" s="9">
        <v>671</v>
      </c>
      <c r="M122" s="9">
        <v>3</v>
      </c>
      <c r="N122" s="9">
        <f t="shared" si="24"/>
        <v>674</v>
      </c>
      <c r="O122" s="9">
        <f t="shared" si="21"/>
        <v>1207</v>
      </c>
      <c r="P122" s="9">
        <v>318</v>
      </c>
      <c r="Q122" s="11">
        <f t="shared" si="25"/>
        <v>23.901345291479821</v>
      </c>
      <c r="R122" s="11">
        <f>(K122+N122)/(G122)*100</f>
        <v>54.125560538116588</v>
      </c>
      <c r="S122" s="11">
        <f t="shared" si="26"/>
        <v>79.147540983606561</v>
      </c>
    </row>
    <row r="123" spans="1:19" x14ac:dyDescent="0.2">
      <c r="A123" s="8">
        <v>41305</v>
      </c>
      <c r="B123" s="9">
        <v>1507</v>
      </c>
      <c r="C123" s="9">
        <v>61</v>
      </c>
      <c r="D123" s="9">
        <v>1446</v>
      </c>
      <c r="E123" s="9">
        <v>2448</v>
      </c>
      <c r="F123" s="9">
        <v>273</v>
      </c>
      <c r="G123" s="9">
        <f t="shared" si="22"/>
        <v>2175</v>
      </c>
      <c r="H123" s="9">
        <v>606</v>
      </c>
      <c r="I123" s="9">
        <v>583</v>
      </c>
      <c r="J123" s="10">
        <f t="shared" si="23"/>
        <v>27.862068965517238</v>
      </c>
      <c r="K123" s="9">
        <v>578</v>
      </c>
      <c r="L123" s="9">
        <v>667</v>
      </c>
      <c r="M123" s="9">
        <v>1</v>
      </c>
      <c r="N123" s="9">
        <f t="shared" si="24"/>
        <v>668</v>
      </c>
      <c r="O123" s="9">
        <f t="shared" si="21"/>
        <v>1246</v>
      </c>
      <c r="P123" s="9">
        <v>323</v>
      </c>
      <c r="Q123" s="11">
        <f t="shared" si="25"/>
        <v>26.574712643678161</v>
      </c>
      <c r="R123" s="11">
        <f t="shared" ref="R123" si="27">(K123+N123)/(G123)*100</f>
        <v>57.287356321839077</v>
      </c>
      <c r="S123" s="11">
        <f t="shared" si="26"/>
        <v>79.413639260675595</v>
      </c>
    </row>
    <row r="124" spans="1:19" x14ac:dyDescent="0.2">
      <c r="A124" s="8">
        <v>41333</v>
      </c>
      <c r="B124" s="9">
        <v>1636</v>
      </c>
      <c r="C124" s="9">
        <v>41</v>
      </c>
      <c r="D124" s="9">
        <f>B124-C124</f>
        <v>1595</v>
      </c>
      <c r="E124" s="9">
        <v>2588</v>
      </c>
      <c r="F124" s="9">
        <v>263</v>
      </c>
      <c r="G124" s="9">
        <f t="shared" si="22"/>
        <v>2325</v>
      </c>
      <c r="H124" s="9">
        <v>571</v>
      </c>
      <c r="I124" s="9">
        <v>548</v>
      </c>
      <c r="J124" s="10">
        <f t="shared" ref="J124:J129" si="28">(H124/G124)*100</f>
        <v>24.55913978494624</v>
      </c>
      <c r="K124" s="9">
        <v>606</v>
      </c>
      <c r="L124" s="9">
        <v>751</v>
      </c>
      <c r="M124" s="9">
        <v>1</v>
      </c>
      <c r="N124" s="9">
        <f t="shared" si="24"/>
        <v>752</v>
      </c>
      <c r="O124" s="9">
        <f t="shared" si="21"/>
        <v>1358</v>
      </c>
      <c r="P124" s="9">
        <v>398</v>
      </c>
      <c r="Q124" s="11">
        <f t="shared" ref="Q124:Q129" si="29">(K124/G124)*100</f>
        <v>26.064516129032256</v>
      </c>
      <c r="R124" s="11">
        <f t="shared" ref="R124:R129" si="30">(K124+N124)/(G124)*100</f>
        <v>58.408602150537639</v>
      </c>
      <c r="S124" s="11">
        <f t="shared" ref="S124:S129" si="31">(K124+N124)/(G124-H124)*100</f>
        <v>77.423033067274801</v>
      </c>
    </row>
    <row r="125" spans="1:19" x14ac:dyDescent="0.2">
      <c r="A125" s="8">
        <v>41364</v>
      </c>
      <c r="B125" s="9">
        <v>1307</v>
      </c>
      <c r="C125" s="9">
        <v>43</v>
      </c>
      <c r="D125" s="9">
        <f>B125-C125</f>
        <v>1264</v>
      </c>
      <c r="E125" s="9">
        <v>1908</v>
      </c>
      <c r="F125" s="9">
        <v>184</v>
      </c>
      <c r="G125" s="9">
        <f t="shared" si="22"/>
        <v>1724</v>
      </c>
      <c r="H125" s="9">
        <v>407</v>
      </c>
      <c r="I125" s="9">
        <v>387</v>
      </c>
      <c r="J125" s="10">
        <f t="shared" si="28"/>
        <v>23.607888631090486</v>
      </c>
      <c r="K125" s="9">
        <v>511</v>
      </c>
      <c r="L125" s="9">
        <v>527</v>
      </c>
      <c r="M125" s="9">
        <v>10</v>
      </c>
      <c r="N125" s="9">
        <f t="shared" si="24"/>
        <v>537</v>
      </c>
      <c r="O125" s="9">
        <f t="shared" si="21"/>
        <v>1048</v>
      </c>
      <c r="P125" s="9">
        <v>269</v>
      </c>
      <c r="Q125" s="11">
        <f t="shared" si="29"/>
        <v>29.640371229698374</v>
      </c>
      <c r="R125" s="11">
        <f t="shared" si="30"/>
        <v>60.788863109048719</v>
      </c>
      <c r="S125" s="11">
        <f t="shared" si="31"/>
        <v>79.574791192103262</v>
      </c>
    </row>
    <row r="126" spans="1:19" x14ac:dyDescent="0.2">
      <c r="A126" s="8">
        <v>41395</v>
      </c>
      <c r="B126" s="9">
        <v>1451</v>
      </c>
      <c r="C126" s="9">
        <v>39</v>
      </c>
      <c r="D126" s="9">
        <f>B126-C126</f>
        <v>1412</v>
      </c>
      <c r="E126" s="9">
        <v>2339</v>
      </c>
      <c r="F126" s="9">
        <v>270</v>
      </c>
      <c r="G126" s="9">
        <f t="shared" si="22"/>
        <v>2069</v>
      </c>
      <c r="H126" s="9">
        <v>481</v>
      </c>
      <c r="I126" s="9">
        <v>455</v>
      </c>
      <c r="J126" s="10">
        <f t="shared" si="28"/>
        <v>23.247945867568873</v>
      </c>
      <c r="K126" s="9">
        <v>534</v>
      </c>
      <c r="L126" s="9">
        <v>704</v>
      </c>
      <c r="M126" s="9">
        <v>2</v>
      </c>
      <c r="N126" s="9">
        <f t="shared" si="24"/>
        <v>706</v>
      </c>
      <c r="O126" s="9">
        <f t="shared" ref="O126:O158" si="32">K126+N126</f>
        <v>1240</v>
      </c>
      <c r="P126" s="9">
        <v>348</v>
      </c>
      <c r="Q126" s="11">
        <f t="shared" si="29"/>
        <v>25.809569840502661</v>
      </c>
      <c r="R126" s="11">
        <f t="shared" si="30"/>
        <v>59.932334461092317</v>
      </c>
      <c r="S126" s="11">
        <f t="shared" si="31"/>
        <v>78.085642317380348</v>
      </c>
    </row>
    <row r="127" spans="1:19" x14ac:dyDescent="0.2">
      <c r="A127" s="8">
        <v>41426</v>
      </c>
      <c r="B127" s="9">
        <v>1634</v>
      </c>
      <c r="C127" s="9">
        <v>32</v>
      </c>
      <c r="D127" s="9">
        <f>B127-C127</f>
        <v>1602</v>
      </c>
      <c r="E127" s="9">
        <v>2205</v>
      </c>
      <c r="F127" s="9">
        <v>178</v>
      </c>
      <c r="G127" s="9">
        <f t="shared" si="22"/>
        <v>2027</v>
      </c>
      <c r="H127" s="9">
        <v>499</v>
      </c>
      <c r="I127" s="9">
        <v>476</v>
      </c>
      <c r="J127" s="10">
        <f t="shared" si="28"/>
        <v>24.617661568820917</v>
      </c>
      <c r="K127" s="9">
        <v>507</v>
      </c>
      <c r="L127" s="9">
        <v>663</v>
      </c>
      <c r="M127" s="9">
        <v>4</v>
      </c>
      <c r="N127" s="9">
        <f t="shared" si="24"/>
        <v>667</v>
      </c>
      <c r="O127" s="9">
        <f t="shared" si="32"/>
        <v>1174</v>
      </c>
      <c r="P127" s="9">
        <v>354</v>
      </c>
      <c r="Q127" s="11">
        <f t="shared" si="29"/>
        <v>25.01233349777997</v>
      </c>
      <c r="R127" s="11">
        <f t="shared" si="30"/>
        <v>57.918105574740999</v>
      </c>
      <c r="S127" s="11">
        <f t="shared" si="31"/>
        <v>76.832460732984302</v>
      </c>
    </row>
    <row r="128" spans="1:19" x14ac:dyDescent="0.2">
      <c r="A128" s="8">
        <v>41455</v>
      </c>
      <c r="B128" s="9">
        <v>1694</v>
      </c>
      <c r="C128" s="9">
        <v>54</v>
      </c>
      <c r="D128" s="9">
        <f t="shared" ref="D128" si="33">B128-C128</f>
        <v>1640</v>
      </c>
      <c r="E128" s="9">
        <v>2177</v>
      </c>
      <c r="F128" s="9">
        <v>207</v>
      </c>
      <c r="G128" s="9">
        <f t="shared" ref="G128:G140" si="34">E128-F128</f>
        <v>1970</v>
      </c>
      <c r="H128" s="9">
        <v>439</v>
      </c>
      <c r="I128" s="9">
        <v>404</v>
      </c>
      <c r="J128" s="10">
        <f t="shared" si="28"/>
        <v>22.284263959390863</v>
      </c>
      <c r="K128" s="9">
        <v>525</v>
      </c>
      <c r="L128" s="9">
        <v>634</v>
      </c>
      <c r="M128" s="9">
        <v>3</v>
      </c>
      <c r="N128" s="9">
        <f t="shared" si="24"/>
        <v>637</v>
      </c>
      <c r="O128" s="9">
        <f t="shared" si="32"/>
        <v>1162</v>
      </c>
      <c r="P128" s="9">
        <v>369</v>
      </c>
      <c r="Q128" s="11">
        <f t="shared" si="29"/>
        <v>26.649746192893403</v>
      </c>
      <c r="R128" s="11">
        <f t="shared" si="30"/>
        <v>58.984771573604057</v>
      </c>
      <c r="S128" s="11">
        <f t="shared" si="31"/>
        <v>75.898105813193993</v>
      </c>
    </row>
    <row r="129" spans="1:19" x14ac:dyDescent="0.2">
      <c r="A129" s="8">
        <v>41486</v>
      </c>
      <c r="B129" s="9">
        <v>1690</v>
      </c>
      <c r="C129" s="9">
        <v>53</v>
      </c>
      <c r="D129" s="9">
        <f t="shared" ref="D129:D158" si="35">B129-C129</f>
        <v>1637</v>
      </c>
      <c r="E129" s="9">
        <v>2330</v>
      </c>
      <c r="F129" s="9">
        <v>194</v>
      </c>
      <c r="G129" s="9">
        <f t="shared" si="34"/>
        <v>2136</v>
      </c>
      <c r="H129" s="9">
        <v>547</v>
      </c>
      <c r="I129" s="9">
        <v>508</v>
      </c>
      <c r="J129" s="10">
        <f t="shared" si="28"/>
        <v>25.608614232209735</v>
      </c>
      <c r="K129" s="9">
        <v>550</v>
      </c>
      <c r="L129" s="9">
        <v>647</v>
      </c>
      <c r="M129" s="9">
        <v>7</v>
      </c>
      <c r="N129" s="9">
        <f t="shared" si="24"/>
        <v>654</v>
      </c>
      <c r="O129" s="9">
        <f t="shared" si="32"/>
        <v>1204</v>
      </c>
      <c r="P129" s="9">
        <v>385</v>
      </c>
      <c r="Q129" s="10">
        <f t="shared" si="29"/>
        <v>25.749063670411985</v>
      </c>
      <c r="R129" s="10">
        <f t="shared" si="30"/>
        <v>56.36704119850188</v>
      </c>
      <c r="S129" s="10">
        <f t="shared" si="31"/>
        <v>75.770925110132154</v>
      </c>
    </row>
    <row r="130" spans="1:19" x14ac:dyDescent="0.2">
      <c r="A130" s="8">
        <v>41517</v>
      </c>
      <c r="B130" s="9">
        <v>1409</v>
      </c>
      <c r="C130" s="9">
        <v>50</v>
      </c>
      <c r="D130" s="9">
        <f t="shared" si="35"/>
        <v>1359</v>
      </c>
      <c r="E130" s="9">
        <v>2142</v>
      </c>
      <c r="F130" s="9">
        <v>177</v>
      </c>
      <c r="G130" s="9">
        <f t="shared" si="34"/>
        <v>1965</v>
      </c>
      <c r="H130" s="9">
        <v>535</v>
      </c>
      <c r="I130" s="9">
        <v>512</v>
      </c>
      <c r="J130" s="10">
        <f t="shared" ref="J130:J139" si="36">(H130/G130)*100</f>
        <v>27.226463104325699</v>
      </c>
      <c r="K130" s="9">
        <v>502</v>
      </c>
      <c r="L130" s="9">
        <v>622</v>
      </c>
      <c r="M130" s="9">
        <v>1</v>
      </c>
      <c r="N130" s="9">
        <f t="shared" ref="N130:N158" si="37">L130+M130</f>
        <v>623</v>
      </c>
      <c r="O130" s="9">
        <f t="shared" si="32"/>
        <v>1125</v>
      </c>
      <c r="P130" s="9">
        <v>305</v>
      </c>
      <c r="Q130" s="10">
        <f t="shared" ref="Q130:Q140" si="38">(K130/G130)*100</f>
        <v>25.547073791348602</v>
      </c>
      <c r="R130" s="10">
        <f t="shared" ref="R130:R140" si="39">(K130+N130)/(G130)*100</f>
        <v>57.251908396946561</v>
      </c>
      <c r="S130" s="10">
        <f t="shared" ref="S130:S139" si="40">(K130+N130)/(G130-H130)*100</f>
        <v>78.671328671328666</v>
      </c>
    </row>
    <row r="131" spans="1:19" x14ac:dyDescent="0.2">
      <c r="A131" s="8">
        <v>41547</v>
      </c>
      <c r="B131" s="9">
        <v>1528</v>
      </c>
      <c r="C131" s="9">
        <v>61</v>
      </c>
      <c r="D131" s="9">
        <f t="shared" si="35"/>
        <v>1467</v>
      </c>
      <c r="E131" s="9">
        <v>2027</v>
      </c>
      <c r="F131" s="9">
        <v>159</v>
      </c>
      <c r="G131" s="9">
        <f t="shared" si="34"/>
        <v>1868</v>
      </c>
      <c r="H131" s="9">
        <v>492</v>
      </c>
      <c r="I131" s="9">
        <v>459</v>
      </c>
      <c r="J131" s="10">
        <f t="shared" si="36"/>
        <v>26.33832976445396</v>
      </c>
      <c r="K131" s="9">
        <v>488</v>
      </c>
      <c r="L131" s="9">
        <v>533</v>
      </c>
      <c r="M131" s="9">
        <v>2</v>
      </c>
      <c r="N131" s="9">
        <f t="shared" si="37"/>
        <v>535</v>
      </c>
      <c r="O131" s="9">
        <f t="shared" si="32"/>
        <v>1023</v>
      </c>
      <c r="P131" s="9">
        <v>353</v>
      </c>
      <c r="Q131" s="10">
        <f t="shared" si="38"/>
        <v>26.124197002141326</v>
      </c>
      <c r="R131" s="10">
        <f t="shared" si="39"/>
        <v>54.764453961456105</v>
      </c>
      <c r="S131" s="10">
        <f t="shared" si="40"/>
        <v>74.345930232558146</v>
      </c>
    </row>
    <row r="132" spans="1:19" x14ac:dyDescent="0.2">
      <c r="A132" s="8">
        <v>41578</v>
      </c>
      <c r="B132" s="9">
        <v>1443</v>
      </c>
      <c r="C132" s="9">
        <v>48</v>
      </c>
      <c r="D132" s="9">
        <f t="shared" si="35"/>
        <v>1395</v>
      </c>
      <c r="E132" s="9">
        <v>2415</v>
      </c>
      <c r="F132" s="9">
        <v>142</v>
      </c>
      <c r="G132" s="9">
        <f t="shared" si="34"/>
        <v>2273</v>
      </c>
      <c r="H132" s="9">
        <v>511</v>
      </c>
      <c r="I132" s="9">
        <v>476</v>
      </c>
      <c r="J132" s="10">
        <f t="shared" si="36"/>
        <v>22.481302243730752</v>
      </c>
      <c r="K132" s="9">
        <v>527</v>
      </c>
      <c r="L132" s="9">
        <v>760</v>
      </c>
      <c r="M132" s="9">
        <v>4</v>
      </c>
      <c r="N132" s="9">
        <f t="shared" si="37"/>
        <v>764</v>
      </c>
      <c r="O132" s="9">
        <f t="shared" si="32"/>
        <v>1291</v>
      </c>
      <c r="P132" s="9">
        <v>471</v>
      </c>
      <c r="Q132" s="10">
        <f t="shared" si="38"/>
        <v>23.185217773867137</v>
      </c>
      <c r="R132" s="10">
        <f t="shared" si="39"/>
        <v>56.797184337879457</v>
      </c>
      <c r="S132" s="10">
        <f t="shared" si="40"/>
        <v>73.269012485811587</v>
      </c>
    </row>
    <row r="133" spans="1:19" x14ac:dyDescent="0.2">
      <c r="A133" s="8">
        <v>41608</v>
      </c>
      <c r="B133" s="9">
        <v>1201</v>
      </c>
      <c r="C133" s="9">
        <v>43</v>
      </c>
      <c r="D133" s="9">
        <f t="shared" si="35"/>
        <v>1158</v>
      </c>
      <c r="E133" s="9">
        <v>2017</v>
      </c>
      <c r="F133" s="9">
        <v>98</v>
      </c>
      <c r="G133" s="9">
        <f t="shared" si="34"/>
        <v>1919</v>
      </c>
      <c r="H133" s="9">
        <v>380</v>
      </c>
      <c r="I133" s="9">
        <v>355</v>
      </c>
      <c r="J133" s="10">
        <f t="shared" si="36"/>
        <v>19.801980198019802</v>
      </c>
      <c r="K133" s="9">
        <v>501</v>
      </c>
      <c r="L133" s="9">
        <v>619</v>
      </c>
      <c r="M133" s="9">
        <v>3</v>
      </c>
      <c r="N133" s="9">
        <f t="shared" si="37"/>
        <v>622</v>
      </c>
      <c r="O133" s="9">
        <f t="shared" si="32"/>
        <v>1123</v>
      </c>
      <c r="P133" s="9">
        <v>419</v>
      </c>
      <c r="Q133" s="10">
        <f t="shared" si="38"/>
        <v>26.107347576862949</v>
      </c>
      <c r="R133" s="10">
        <f t="shared" si="39"/>
        <v>58.52006253256905</v>
      </c>
      <c r="S133" s="10">
        <f t="shared" si="40"/>
        <v>72.969460688758943</v>
      </c>
    </row>
    <row r="134" spans="1:19" x14ac:dyDescent="0.2">
      <c r="A134" s="4">
        <v>41639</v>
      </c>
      <c r="B134" s="5">
        <v>1431</v>
      </c>
      <c r="C134" s="5">
        <v>59</v>
      </c>
      <c r="D134" s="5">
        <f t="shared" si="35"/>
        <v>1372</v>
      </c>
      <c r="E134" s="5">
        <v>2255</v>
      </c>
      <c r="F134" s="5">
        <v>144</v>
      </c>
      <c r="G134" s="5">
        <f t="shared" si="34"/>
        <v>2111</v>
      </c>
      <c r="H134" s="5">
        <v>505</v>
      </c>
      <c r="I134" s="5">
        <v>471</v>
      </c>
      <c r="J134" s="6">
        <f t="shared" si="36"/>
        <v>23.922311700615822</v>
      </c>
      <c r="K134" s="5">
        <v>518</v>
      </c>
      <c r="L134" s="5">
        <v>675</v>
      </c>
      <c r="M134" s="5">
        <v>8</v>
      </c>
      <c r="N134" s="5">
        <f t="shared" si="37"/>
        <v>683</v>
      </c>
      <c r="O134" s="5">
        <f t="shared" si="32"/>
        <v>1201</v>
      </c>
      <c r="P134" s="5">
        <v>405</v>
      </c>
      <c r="Q134" s="7">
        <f t="shared" si="38"/>
        <v>24.538133585978208</v>
      </c>
      <c r="R134" s="7">
        <f t="shared" si="39"/>
        <v>56.892468024632883</v>
      </c>
      <c r="S134" s="7">
        <f t="shared" si="40"/>
        <v>74.782067247820677</v>
      </c>
    </row>
    <row r="135" spans="1:19" x14ac:dyDescent="0.2">
      <c r="A135" s="4">
        <v>41670</v>
      </c>
      <c r="B135" s="5">
        <v>1339</v>
      </c>
      <c r="C135" s="5">
        <v>60</v>
      </c>
      <c r="D135" s="5">
        <f t="shared" si="35"/>
        <v>1279</v>
      </c>
      <c r="E135" s="5">
        <v>2130</v>
      </c>
      <c r="F135" s="5">
        <v>126</v>
      </c>
      <c r="G135" s="5">
        <f t="shared" si="34"/>
        <v>2004</v>
      </c>
      <c r="H135" s="5">
        <v>419</v>
      </c>
      <c r="I135" s="5">
        <v>381</v>
      </c>
      <c r="J135" s="6">
        <f t="shared" si="36"/>
        <v>20.908183632734531</v>
      </c>
      <c r="K135" s="5">
        <v>523</v>
      </c>
      <c r="L135" s="5">
        <v>631</v>
      </c>
      <c r="M135" s="5">
        <v>2</v>
      </c>
      <c r="N135" s="5">
        <f t="shared" si="37"/>
        <v>633</v>
      </c>
      <c r="O135" s="5">
        <f t="shared" si="32"/>
        <v>1156</v>
      </c>
      <c r="P135" s="5">
        <v>429</v>
      </c>
      <c r="Q135" s="7">
        <f t="shared" si="38"/>
        <v>26.097804391217565</v>
      </c>
      <c r="R135" s="7">
        <f t="shared" si="39"/>
        <v>57.684630738522955</v>
      </c>
      <c r="S135" s="7">
        <f t="shared" si="40"/>
        <v>72.933753943217667</v>
      </c>
    </row>
    <row r="136" spans="1:19" x14ac:dyDescent="0.2">
      <c r="A136" s="4">
        <v>41698</v>
      </c>
      <c r="B136" s="5">
        <v>1281</v>
      </c>
      <c r="C136" s="5">
        <v>46</v>
      </c>
      <c r="D136" s="5">
        <f t="shared" si="35"/>
        <v>1235</v>
      </c>
      <c r="E136" s="5">
        <v>2238</v>
      </c>
      <c r="F136" s="5">
        <v>119</v>
      </c>
      <c r="G136" s="5">
        <f t="shared" si="34"/>
        <v>2119</v>
      </c>
      <c r="H136" s="5">
        <v>462</v>
      </c>
      <c r="I136" s="5">
        <v>421</v>
      </c>
      <c r="J136" s="6">
        <f t="shared" si="36"/>
        <v>21.802737140160453</v>
      </c>
      <c r="K136" s="5">
        <v>512</v>
      </c>
      <c r="L136" s="5">
        <v>673</v>
      </c>
      <c r="M136" s="5">
        <v>3</v>
      </c>
      <c r="N136" s="5">
        <f t="shared" si="37"/>
        <v>676</v>
      </c>
      <c r="O136" s="5">
        <f t="shared" si="32"/>
        <v>1188</v>
      </c>
      <c r="P136" s="5">
        <v>469</v>
      </c>
      <c r="Q136" s="7">
        <f t="shared" si="38"/>
        <v>24.162340726757904</v>
      </c>
      <c r="R136" s="7">
        <f t="shared" si="39"/>
        <v>56.064181217555451</v>
      </c>
      <c r="S136" s="7">
        <f t="shared" si="40"/>
        <v>71.69583584791792</v>
      </c>
    </row>
    <row r="137" spans="1:19" x14ac:dyDescent="0.2">
      <c r="A137" s="4">
        <v>41729</v>
      </c>
      <c r="B137" s="5">
        <v>1255</v>
      </c>
      <c r="C137" s="5">
        <v>49</v>
      </c>
      <c r="D137" s="5">
        <f t="shared" si="35"/>
        <v>1206</v>
      </c>
      <c r="E137" s="5">
        <v>2321</v>
      </c>
      <c r="F137" s="5">
        <v>142</v>
      </c>
      <c r="G137" s="5">
        <f t="shared" si="34"/>
        <v>2179</v>
      </c>
      <c r="H137" s="5">
        <v>489</v>
      </c>
      <c r="I137" s="5">
        <v>441</v>
      </c>
      <c r="J137" s="6">
        <f t="shared" si="36"/>
        <v>22.441486920605783</v>
      </c>
      <c r="K137" s="5">
        <v>550</v>
      </c>
      <c r="L137" s="5">
        <v>705</v>
      </c>
      <c r="M137" s="5">
        <v>1</v>
      </c>
      <c r="N137" s="5">
        <f t="shared" si="37"/>
        <v>706</v>
      </c>
      <c r="O137" s="5">
        <f t="shared" si="32"/>
        <v>1256</v>
      </c>
      <c r="P137" s="5">
        <v>434</v>
      </c>
      <c r="Q137" s="7">
        <f t="shared" si="38"/>
        <v>25.240936209270309</v>
      </c>
      <c r="R137" s="7">
        <f t="shared" si="39"/>
        <v>57.641119779715467</v>
      </c>
      <c r="S137" s="7">
        <f t="shared" si="40"/>
        <v>74.319526627218934</v>
      </c>
    </row>
    <row r="138" spans="1:19" x14ac:dyDescent="0.2">
      <c r="A138" s="4">
        <v>41759</v>
      </c>
      <c r="B138" s="5">
        <v>1268</v>
      </c>
      <c r="C138" s="5">
        <v>46</v>
      </c>
      <c r="D138" s="5">
        <f t="shared" si="35"/>
        <v>1222</v>
      </c>
      <c r="E138" s="5">
        <v>2341</v>
      </c>
      <c r="F138" s="5">
        <v>156</v>
      </c>
      <c r="G138" s="5">
        <f t="shared" si="34"/>
        <v>2185</v>
      </c>
      <c r="H138" s="5">
        <v>447</v>
      </c>
      <c r="I138" s="5">
        <v>395</v>
      </c>
      <c r="J138" s="6">
        <f t="shared" si="36"/>
        <v>20.45766590389016</v>
      </c>
      <c r="K138" s="5">
        <v>614</v>
      </c>
      <c r="L138" s="5">
        <v>708</v>
      </c>
      <c r="M138" s="5">
        <v>1</v>
      </c>
      <c r="N138" s="5">
        <f t="shared" si="37"/>
        <v>709</v>
      </c>
      <c r="O138" s="5">
        <f t="shared" si="32"/>
        <v>1323</v>
      </c>
      <c r="P138" s="5">
        <v>415</v>
      </c>
      <c r="Q138" s="7">
        <f t="shared" si="38"/>
        <v>28.100686498855836</v>
      </c>
      <c r="R138" s="7">
        <f t="shared" si="39"/>
        <v>60.549199084668196</v>
      </c>
      <c r="S138" s="7">
        <f t="shared" si="40"/>
        <v>76.121979286536245</v>
      </c>
    </row>
    <row r="139" spans="1:19" x14ac:dyDescent="0.2">
      <c r="A139" s="4">
        <v>41790</v>
      </c>
      <c r="B139" s="5">
        <v>1246</v>
      </c>
      <c r="C139" s="5">
        <v>57</v>
      </c>
      <c r="D139" s="5">
        <f t="shared" si="35"/>
        <v>1189</v>
      </c>
      <c r="E139" s="5">
        <v>2270</v>
      </c>
      <c r="F139" s="5">
        <v>132</v>
      </c>
      <c r="G139" s="5">
        <f t="shared" si="34"/>
        <v>2138</v>
      </c>
      <c r="H139" s="5">
        <v>419</v>
      </c>
      <c r="I139" s="5">
        <v>379</v>
      </c>
      <c r="J139" s="6">
        <f t="shared" si="36"/>
        <v>19.597754911131897</v>
      </c>
      <c r="K139" s="5">
        <v>589</v>
      </c>
      <c r="L139" s="5">
        <v>762</v>
      </c>
      <c r="M139" s="5">
        <v>4</v>
      </c>
      <c r="N139" s="5">
        <f t="shared" si="37"/>
        <v>766</v>
      </c>
      <c r="O139" s="5">
        <f t="shared" si="32"/>
        <v>1355</v>
      </c>
      <c r="P139" s="5">
        <v>368</v>
      </c>
      <c r="Q139" s="7">
        <f t="shared" si="38"/>
        <v>27.549111318989709</v>
      </c>
      <c r="R139" s="7">
        <f t="shared" si="39"/>
        <v>63.376987839101965</v>
      </c>
      <c r="S139" s="7">
        <f t="shared" si="40"/>
        <v>78.824898196625952</v>
      </c>
    </row>
    <row r="140" spans="1:19" x14ac:dyDescent="0.2">
      <c r="A140" s="4">
        <v>41820</v>
      </c>
      <c r="B140" s="5">
        <v>1374</v>
      </c>
      <c r="C140" s="5">
        <v>54</v>
      </c>
      <c r="D140" s="5">
        <f t="shared" si="35"/>
        <v>1320</v>
      </c>
      <c r="E140" s="5">
        <v>2257</v>
      </c>
      <c r="F140" s="5">
        <v>109</v>
      </c>
      <c r="G140" s="5">
        <f t="shared" si="34"/>
        <v>2148</v>
      </c>
      <c r="H140" s="5">
        <v>377</v>
      </c>
      <c r="I140" s="5">
        <v>322</v>
      </c>
      <c r="J140" s="6">
        <f t="shared" ref="J140:J145" si="41">(H140/G140)*100</f>
        <v>17.551210428305399</v>
      </c>
      <c r="K140" s="5">
        <v>620</v>
      </c>
      <c r="L140" s="5">
        <v>760</v>
      </c>
      <c r="M140" s="5">
        <v>5</v>
      </c>
      <c r="N140" s="5">
        <f t="shared" si="37"/>
        <v>765</v>
      </c>
      <c r="O140" s="5">
        <f t="shared" si="32"/>
        <v>1385</v>
      </c>
      <c r="P140" s="5">
        <v>386</v>
      </c>
      <c r="Q140" s="7">
        <f t="shared" si="38"/>
        <v>28.864059590316572</v>
      </c>
      <c r="R140" s="7">
        <f t="shared" si="39"/>
        <v>64.478584729981378</v>
      </c>
      <c r="S140" s="7">
        <f t="shared" ref="S140:S145" si="42">(K140+N140)/(G140-H140)*100</f>
        <v>78.204404291360817</v>
      </c>
    </row>
    <row r="141" spans="1:19" x14ac:dyDescent="0.2">
      <c r="A141" s="4">
        <v>41851</v>
      </c>
      <c r="B141" s="5">
        <v>1193</v>
      </c>
      <c r="C141" s="5">
        <v>56</v>
      </c>
      <c r="D141" s="5">
        <f t="shared" si="35"/>
        <v>1137</v>
      </c>
      <c r="E141" s="5">
        <v>2376</v>
      </c>
      <c r="F141" s="5">
        <v>131</v>
      </c>
      <c r="G141" s="5">
        <v>2245</v>
      </c>
      <c r="H141" s="5">
        <v>389</v>
      </c>
      <c r="I141" s="5">
        <v>330</v>
      </c>
      <c r="J141" s="6">
        <f t="shared" si="41"/>
        <v>17.327394209354118</v>
      </c>
      <c r="K141" s="5">
        <v>589</v>
      </c>
      <c r="L141" s="5">
        <v>807</v>
      </c>
      <c r="M141" s="5">
        <v>5</v>
      </c>
      <c r="N141" s="5">
        <f t="shared" si="37"/>
        <v>812</v>
      </c>
      <c r="O141" s="5">
        <f t="shared" si="32"/>
        <v>1401</v>
      </c>
      <c r="P141" s="5">
        <v>455</v>
      </c>
      <c r="Q141" s="7">
        <f>(K141/G141)*100</f>
        <v>26.236080178173722</v>
      </c>
      <c r="R141" s="7">
        <f>(K141+N141)/(G141)*100</f>
        <v>62.405345211581285</v>
      </c>
      <c r="S141" s="7">
        <f t="shared" si="42"/>
        <v>75.484913793103445</v>
      </c>
    </row>
    <row r="142" spans="1:19" x14ac:dyDescent="0.2">
      <c r="A142" s="4">
        <v>41882</v>
      </c>
      <c r="B142" s="5">
        <v>1097</v>
      </c>
      <c r="C142" s="5">
        <v>53</v>
      </c>
      <c r="D142" s="5">
        <f t="shared" si="35"/>
        <v>1044</v>
      </c>
      <c r="E142" s="5">
        <v>1749</v>
      </c>
      <c r="F142" s="5">
        <v>113</v>
      </c>
      <c r="G142" s="5">
        <v>1636</v>
      </c>
      <c r="H142" s="5">
        <v>266</v>
      </c>
      <c r="I142" s="5">
        <v>223</v>
      </c>
      <c r="J142" s="6">
        <f t="shared" si="41"/>
        <v>16.25916870415648</v>
      </c>
      <c r="K142" s="5">
        <v>391</v>
      </c>
      <c r="L142" s="5">
        <v>630</v>
      </c>
      <c r="M142" s="5">
        <v>13</v>
      </c>
      <c r="N142" s="5">
        <f t="shared" si="37"/>
        <v>643</v>
      </c>
      <c r="O142" s="5">
        <f t="shared" si="32"/>
        <v>1034</v>
      </c>
      <c r="P142" s="5">
        <v>336</v>
      </c>
      <c r="Q142" s="7">
        <f>(K142/G142)*100</f>
        <v>23.899755501222494</v>
      </c>
      <c r="R142" s="7">
        <f>(K142+N142)/(G142)*100</f>
        <v>63.202933985330077</v>
      </c>
      <c r="S142" s="7">
        <f t="shared" si="42"/>
        <v>75.474452554744531</v>
      </c>
    </row>
    <row r="143" spans="1:19" x14ac:dyDescent="0.2">
      <c r="A143" s="4">
        <v>41912</v>
      </c>
      <c r="B143" s="5">
        <v>1447</v>
      </c>
      <c r="C143" s="5">
        <v>62</v>
      </c>
      <c r="D143" s="5">
        <f t="shared" si="35"/>
        <v>1385</v>
      </c>
      <c r="E143" s="5">
        <v>1946</v>
      </c>
      <c r="F143" s="5">
        <v>113</v>
      </c>
      <c r="G143" s="5">
        <v>1833</v>
      </c>
      <c r="H143" s="5">
        <v>278</v>
      </c>
      <c r="I143" s="5">
        <v>249</v>
      </c>
      <c r="J143" s="6">
        <f t="shared" si="41"/>
        <v>15.166393889798144</v>
      </c>
      <c r="K143" s="5">
        <v>426</v>
      </c>
      <c r="L143" s="5">
        <v>747</v>
      </c>
      <c r="M143" s="5">
        <v>6</v>
      </c>
      <c r="N143" s="5">
        <f t="shared" si="37"/>
        <v>753</v>
      </c>
      <c r="O143" s="5">
        <f t="shared" si="32"/>
        <v>1179</v>
      </c>
      <c r="P143" s="5">
        <v>376</v>
      </c>
      <c r="Q143" s="7">
        <f>(K143/G143)*100</f>
        <v>23.240589198036009</v>
      </c>
      <c r="R143" s="7">
        <f>(K143+N143)/(G143)*100</f>
        <v>64.320785597381345</v>
      </c>
      <c r="S143" s="7">
        <f t="shared" si="42"/>
        <v>75.819935691318335</v>
      </c>
    </row>
    <row r="144" spans="1:19" x14ac:dyDescent="0.2">
      <c r="A144" s="4">
        <v>41943</v>
      </c>
      <c r="B144" s="5">
        <v>1299</v>
      </c>
      <c r="C144" s="5">
        <v>66</v>
      </c>
      <c r="D144" s="5">
        <f t="shared" si="35"/>
        <v>1233</v>
      </c>
      <c r="E144" s="5">
        <v>2270</v>
      </c>
      <c r="F144" s="5">
        <v>141</v>
      </c>
      <c r="G144" s="5">
        <f>SUM(E144-F144)</f>
        <v>2129</v>
      </c>
      <c r="H144" s="5">
        <v>319</v>
      </c>
      <c r="I144" s="5">
        <v>287</v>
      </c>
      <c r="J144" s="6">
        <f t="shared" si="41"/>
        <v>14.983560356975106</v>
      </c>
      <c r="K144" s="5">
        <v>534</v>
      </c>
      <c r="L144" s="5">
        <v>781</v>
      </c>
      <c r="M144" s="5">
        <v>6</v>
      </c>
      <c r="N144" s="5">
        <f t="shared" si="37"/>
        <v>787</v>
      </c>
      <c r="O144" s="5">
        <f t="shared" si="32"/>
        <v>1321</v>
      </c>
      <c r="P144" s="5">
        <v>489</v>
      </c>
      <c r="Q144" s="7">
        <v>25.1</v>
      </c>
      <c r="R144" s="7">
        <v>62</v>
      </c>
      <c r="S144" s="7">
        <f t="shared" si="42"/>
        <v>72.983425414364646</v>
      </c>
    </row>
    <row r="145" spans="1:19" x14ac:dyDescent="0.2">
      <c r="A145" s="4">
        <v>41973</v>
      </c>
      <c r="B145" s="5">
        <v>1025</v>
      </c>
      <c r="C145" s="5">
        <v>48</v>
      </c>
      <c r="D145" s="5">
        <f t="shared" si="35"/>
        <v>977</v>
      </c>
      <c r="E145" s="5">
        <v>1950</v>
      </c>
      <c r="F145" s="5">
        <v>113</v>
      </c>
      <c r="G145" s="5">
        <v>1837</v>
      </c>
      <c r="H145" s="5">
        <v>323</v>
      </c>
      <c r="I145" s="5">
        <v>286</v>
      </c>
      <c r="J145" s="6">
        <f t="shared" si="41"/>
        <v>17.583015786608602</v>
      </c>
      <c r="K145" s="5">
        <v>492</v>
      </c>
      <c r="L145" s="5">
        <v>633</v>
      </c>
      <c r="M145" s="5">
        <v>2</v>
      </c>
      <c r="N145" s="5">
        <f t="shared" si="37"/>
        <v>635</v>
      </c>
      <c r="O145" s="5">
        <f t="shared" si="32"/>
        <v>1127</v>
      </c>
      <c r="P145" s="5">
        <v>387</v>
      </c>
      <c r="Q145" s="7">
        <v>26.8</v>
      </c>
      <c r="R145" s="7">
        <v>61.4</v>
      </c>
      <c r="S145" s="7">
        <f t="shared" si="42"/>
        <v>74.43857331571995</v>
      </c>
    </row>
    <row r="146" spans="1:19" s="28" customFormat="1" x14ac:dyDescent="0.2">
      <c r="A146" s="24">
        <v>42004</v>
      </c>
      <c r="B146" s="25">
        <v>1153</v>
      </c>
      <c r="C146" s="25">
        <v>34</v>
      </c>
      <c r="D146" s="25">
        <v>1119</v>
      </c>
      <c r="E146" s="25">
        <v>1351</v>
      </c>
      <c r="F146" s="25">
        <v>79</v>
      </c>
      <c r="G146" s="25">
        <v>1272</v>
      </c>
      <c r="H146" s="25">
        <v>305</v>
      </c>
      <c r="I146" s="25">
        <v>265</v>
      </c>
      <c r="J146" s="26">
        <v>24</v>
      </c>
      <c r="K146" s="25">
        <v>356</v>
      </c>
      <c r="L146" s="25">
        <v>358</v>
      </c>
      <c r="M146" s="25">
        <v>6</v>
      </c>
      <c r="N146" s="25">
        <v>364</v>
      </c>
      <c r="O146" s="25">
        <v>720</v>
      </c>
      <c r="P146" s="25">
        <v>247</v>
      </c>
      <c r="Q146" s="27">
        <v>28</v>
      </c>
      <c r="R146" s="27">
        <v>56.6</v>
      </c>
      <c r="S146" s="27">
        <v>74.5</v>
      </c>
    </row>
    <row r="147" spans="1:19" s="28" customFormat="1" x14ac:dyDescent="0.2">
      <c r="A147" s="24">
        <v>42005</v>
      </c>
      <c r="B147" s="25">
        <v>1240</v>
      </c>
      <c r="C147" s="25">
        <v>46</v>
      </c>
      <c r="D147" s="25">
        <f t="shared" si="35"/>
        <v>1194</v>
      </c>
      <c r="E147" s="25">
        <v>1454</v>
      </c>
      <c r="F147" s="25">
        <v>122</v>
      </c>
      <c r="G147" s="25">
        <f>SUM(E147-F147)</f>
        <v>1332</v>
      </c>
      <c r="H147" s="25">
        <v>333</v>
      </c>
      <c r="I147" s="25">
        <v>282</v>
      </c>
      <c r="J147" s="26">
        <f>(H147/G147)*100</f>
        <v>25</v>
      </c>
      <c r="K147" s="25">
        <v>376</v>
      </c>
      <c r="L147" s="25">
        <v>328</v>
      </c>
      <c r="M147" s="25">
        <v>2</v>
      </c>
      <c r="N147" s="25">
        <f t="shared" si="37"/>
        <v>330</v>
      </c>
      <c r="O147" s="25">
        <f t="shared" si="32"/>
        <v>706</v>
      </c>
      <c r="P147" s="25">
        <v>293</v>
      </c>
      <c r="Q147" s="27">
        <v>28.2</v>
      </c>
      <c r="R147" s="27">
        <v>53</v>
      </c>
      <c r="S147" s="27">
        <v>70.7</v>
      </c>
    </row>
    <row r="148" spans="1:19" s="28" customFormat="1" x14ac:dyDescent="0.2">
      <c r="A148" s="24">
        <v>42063</v>
      </c>
      <c r="B148" s="25">
        <v>1289</v>
      </c>
      <c r="C148" s="25">
        <v>82</v>
      </c>
      <c r="D148" s="25">
        <f t="shared" si="35"/>
        <v>1207</v>
      </c>
      <c r="E148" s="25">
        <v>1452</v>
      </c>
      <c r="F148" s="25">
        <v>127</v>
      </c>
      <c r="G148" s="25">
        <f>(E148-F148)</f>
        <v>1325</v>
      </c>
      <c r="H148" s="25">
        <v>324</v>
      </c>
      <c r="I148" s="25">
        <v>271</v>
      </c>
      <c r="J148" s="26">
        <f>(H148/G148)*100</f>
        <v>24.452830188679243</v>
      </c>
      <c r="K148" s="25">
        <v>366</v>
      </c>
      <c r="L148" s="25">
        <v>310</v>
      </c>
      <c r="M148" s="25">
        <v>6</v>
      </c>
      <c r="N148" s="25">
        <f t="shared" si="37"/>
        <v>316</v>
      </c>
      <c r="O148" s="25">
        <f t="shared" si="32"/>
        <v>682</v>
      </c>
      <c r="P148" s="25">
        <v>319</v>
      </c>
      <c r="Q148" s="27">
        <v>27.6</v>
      </c>
      <c r="R148" s="27">
        <v>51.5</v>
      </c>
      <c r="S148" s="27">
        <v>68.099999999999994</v>
      </c>
    </row>
    <row r="149" spans="1:19" s="28" customFormat="1" x14ac:dyDescent="0.2">
      <c r="A149" s="24">
        <v>42094</v>
      </c>
      <c r="B149" s="25">
        <v>1118</v>
      </c>
      <c r="C149" s="25">
        <v>51</v>
      </c>
      <c r="D149" s="25">
        <f t="shared" si="35"/>
        <v>1067</v>
      </c>
      <c r="E149" s="25">
        <v>1523</v>
      </c>
      <c r="F149" s="25">
        <v>137</v>
      </c>
      <c r="G149" s="25">
        <v>1386</v>
      </c>
      <c r="H149" s="25">
        <v>269</v>
      </c>
      <c r="I149" s="25">
        <v>237</v>
      </c>
      <c r="J149" s="26">
        <v>19.399999999999999</v>
      </c>
      <c r="K149" s="25">
        <v>389</v>
      </c>
      <c r="L149" s="25">
        <v>387</v>
      </c>
      <c r="M149" s="25">
        <v>5</v>
      </c>
      <c r="N149" s="25">
        <f t="shared" si="37"/>
        <v>392</v>
      </c>
      <c r="O149" s="25">
        <f t="shared" si="32"/>
        <v>781</v>
      </c>
      <c r="P149" s="25">
        <v>336</v>
      </c>
      <c r="Q149" s="27">
        <v>28.1</v>
      </c>
      <c r="R149" s="27">
        <v>56.3</v>
      </c>
      <c r="S149" s="27">
        <v>69.900000000000006</v>
      </c>
    </row>
    <row r="150" spans="1:19" s="28" customFormat="1" x14ac:dyDescent="0.2">
      <c r="A150" s="24">
        <v>42124</v>
      </c>
      <c r="B150" s="25">
        <v>1226</v>
      </c>
      <c r="C150" s="25">
        <v>80</v>
      </c>
      <c r="D150" s="25">
        <f t="shared" si="35"/>
        <v>1146</v>
      </c>
      <c r="E150" s="25">
        <v>1834</v>
      </c>
      <c r="F150" s="25">
        <v>101</v>
      </c>
      <c r="G150" s="25">
        <v>1733</v>
      </c>
      <c r="H150" s="25">
        <v>339</v>
      </c>
      <c r="I150" s="25">
        <v>265</v>
      </c>
      <c r="J150" s="26">
        <v>19.600000000000001</v>
      </c>
      <c r="K150" s="25">
        <v>574</v>
      </c>
      <c r="L150" s="25">
        <v>426</v>
      </c>
      <c r="M150" s="25">
        <v>4</v>
      </c>
      <c r="N150" s="25">
        <f t="shared" si="37"/>
        <v>430</v>
      </c>
      <c r="O150" s="25">
        <f t="shared" si="32"/>
        <v>1004</v>
      </c>
      <c r="P150" s="25">
        <v>390</v>
      </c>
      <c r="Q150" s="27">
        <v>33.1</v>
      </c>
      <c r="R150" s="27">
        <v>57.9</v>
      </c>
      <c r="S150" s="27">
        <v>72</v>
      </c>
    </row>
    <row r="151" spans="1:19" s="28" customFormat="1" x14ac:dyDescent="0.2">
      <c r="A151" s="24">
        <v>42155</v>
      </c>
      <c r="B151" s="25">
        <v>1003</v>
      </c>
      <c r="C151" s="25">
        <v>68</v>
      </c>
      <c r="D151" s="25">
        <f t="shared" si="35"/>
        <v>935</v>
      </c>
      <c r="E151" s="25">
        <v>1470</v>
      </c>
      <c r="F151" s="25">
        <v>115</v>
      </c>
      <c r="G151" s="25">
        <v>1355</v>
      </c>
      <c r="H151" s="25">
        <v>259</v>
      </c>
      <c r="I151" s="25">
        <v>207</v>
      </c>
      <c r="J151" s="26">
        <v>19.100000000000001</v>
      </c>
      <c r="K151" s="25">
        <v>433</v>
      </c>
      <c r="L151" s="25">
        <v>320</v>
      </c>
      <c r="M151" s="25">
        <v>13</v>
      </c>
      <c r="N151" s="25">
        <f t="shared" si="37"/>
        <v>333</v>
      </c>
      <c r="O151" s="25">
        <f t="shared" si="32"/>
        <v>766</v>
      </c>
      <c r="P151" s="25">
        <v>330</v>
      </c>
      <c r="Q151" s="27">
        <v>32</v>
      </c>
      <c r="R151" s="27">
        <v>56.6</v>
      </c>
      <c r="S151" s="27">
        <v>69.900000000000006</v>
      </c>
    </row>
    <row r="152" spans="1:19" s="28" customFormat="1" x14ac:dyDescent="0.2">
      <c r="A152" s="24">
        <v>42185</v>
      </c>
      <c r="B152" s="25">
        <v>1311</v>
      </c>
      <c r="C152" s="25">
        <v>71</v>
      </c>
      <c r="D152" s="25">
        <f t="shared" si="35"/>
        <v>1240</v>
      </c>
      <c r="E152" s="25">
        <v>1714</v>
      </c>
      <c r="F152" s="25">
        <v>109</v>
      </c>
      <c r="G152" s="25">
        <v>1605</v>
      </c>
      <c r="H152" s="25">
        <v>267</v>
      </c>
      <c r="I152" s="25">
        <v>211</v>
      </c>
      <c r="J152" s="26">
        <v>16.600000000000001</v>
      </c>
      <c r="K152" s="25">
        <v>520</v>
      </c>
      <c r="L152" s="25">
        <v>452</v>
      </c>
      <c r="M152" s="25">
        <v>7</v>
      </c>
      <c r="N152" s="25">
        <f t="shared" si="37"/>
        <v>459</v>
      </c>
      <c r="O152" s="25">
        <f t="shared" si="32"/>
        <v>979</v>
      </c>
      <c r="P152" s="25">
        <v>359</v>
      </c>
      <c r="Q152" s="27">
        <v>32.4</v>
      </c>
      <c r="R152" s="27">
        <v>61</v>
      </c>
      <c r="S152" s="27">
        <v>73.2</v>
      </c>
    </row>
    <row r="153" spans="1:19" s="28" customFormat="1" x14ac:dyDescent="0.2">
      <c r="A153" s="24">
        <v>42216</v>
      </c>
      <c r="B153" s="25">
        <v>1182</v>
      </c>
      <c r="C153" s="25">
        <v>55</v>
      </c>
      <c r="D153" s="25">
        <f t="shared" si="35"/>
        <v>1127</v>
      </c>
      <c r="E153" s="25">
        <v>1542</v>
      </c>
      <c r="F153" s="25">
        <v>85</v>
      </c>
      <c r="G153" s="25">
        <v>1457</v>
      </c>
      <c r="H153" s="25">
        <v>194</v>
      </c>
      <c r="I153" s="25">
        <v>164</v>
      </c>
      <c r="J153" s="26">
        <v>13.3</v>
      </c>
      <c r="K153" s="25">
        <v>472</v>
      </c>
      <c r="L153" s="25">
        <v>473</v>
      </c>
      <c r="M153" s="25">
        <v>5</v>
      </c>
      <c r="N153" s="25">
        <f t="shared" si="37"/>
        <v>478</v>
      </c>
      <c r="O153" s="25">
        <f t="shared" si="32"/>
        <v>950</v>
      </c>
      <c r="P153" s="25">
        <v>313</v>
      </c>
      <c r="Q153" s="27">
        <v>32.4</v>
      </c>
      <c r="R153" s="27">
        <v>65.2</v>
      </c>
      <c r="S153" s="27">
        <v>75.2</v>
      </c>
    </row>
    <row r="154" spans="1:19" s="28" customFormat="1" x14ac:dyDescent="0.2">
      <c r="A154" s="24">
        <v>42247</v>
      </c>
      <c r="B154" s="25">
        <v>1197</v>
      </c>
      <c r="C154" s="25">
        <v>46</v>
      </c>
      <c r="D154" s="25">
        <f t="shared" si="35"/>
        <v>1151</v>
      </c>
      <c r="E154" s="25">
        <v>1709</v>
      </c>
      <c r="F154" s="25">
        <v>145</v>
      </c>
      <c r="G154" s="25">
        <v>1564</v>
      </c>
      <c r="H154" s="25">
        <v>246</v>
      </c>
      <c r="I154" s="25">
        <v>203</v>
      </c>
      <c r="J154" s="26">
        <v>15.7</v>
      </c>
      <c r="K154" s="25">
        <v>497</v>
      </c>
      <c r="L154" s="25">
        <v>443</v>
      </c>
      <c r="M154" s="25">
        <v>4</v>
      </c>
      <c r="N154" s="25">
        <f t="shared" si="37"/>
        <v>447</v>
      </c>
      <c r="O154" s="25">
        <f t="shared" si="32"/>
        <v>944</v>
      </c>
      <c r="P154" s="25">
        <v>374</v>
      </c>
      <c r="Q154" s="27">
        <v>31.8</v>
      </c>
      <c r="R154" s="27">
        <v>60.4</v>
      </c>
      <c r="S154" s="27">
        <v>71.599999999999994</v>
      </c>
    </row>
    <row r="155" spans="1:19" s="28" customFormat="1" x14ac:dyDescent="0.2">
      <c r="A155" s="24">
        <v>42277</v>
      </c>
      <c r="B155" s="25">
        <v>1273</v>
      </c>
      <c r="C155" s="25">
        <v>66</v>
      </c>
      <c r="D155" s="25">
        <f t="shared" si="35"/>
        <v>1207</v>
      </c>
      <c r="E155" s="25">
        <v>1748</v>
      </c>
      <c r="F155" s="25">
        <v>97</v>
      </c>
      <c r="G155" s="25">
        <v>1651</v>
      </c>
      <c r="H155" s="25">
        <v>273</v>
      </c>
      <c r="I155" s="25">
        <v>233</v>
      </c>
      <c r="J155" s="26">
        <v>16.5</v>
      </c>
      <c r="K155" s="25">
        <v>573</v>
      </c>
      <c r="L155" s="25">
        <v>495</v>
      </c>
      <c r="M155" s="25">
        <v>7</v>
      </c>
      <c r="N155" s="25">
        <f t="shared" si="37"/>
        <v>502</v>
      </c>
      <c r="O155" s="25">
        <f t="shared" si="32"/>
        <v>1075</v>
      </c>
      <c r="P155" s="25">
        <v>303</v>
      </c>
      <c r="Q155" s="27">
        <v>34.700000000000003</v>
      </c>
      <c r="R155" s="27">
        <v>65.099999999999994</v>
      </c>
      <c r="S155" s="27">
        <v>78</v>
      </c>
    </row>
    <row r="156" spans="1:19" s="28" customFormat="1" x14ac:dyDescent="0.2">
      <c r="A156" s="24">
        <v>42308</v>
      </c>
      <c r="B156" s="25">
        <v>1166</v>
      </c>
      <c r="C156" s="25">
        <v>71</v>
      </c>
      <c r="D156" s="25">
        <f t="shared" si="35"/>
        <v>1095</v>
      </c>
      <c r="E156" s="25">
        <v>1692</v>
      </c>
      <c r="F156" s="25">
        <v>107</v>
      </c>
      <c r="G156" s="25">
        <f>SUM(E156-F156)</f>
        <v>1585</v>
      </c>
      <c r="H156" s="25">
        <v>246</v>
      </c>
      <c r="I156" s="25">
        <v>192</v>
      </c>
      <c r="J156" s="26">
        <v>15.5</v>
      </c>
      <c r="K156" s="25">
        <v>469</v>
      </c>
      <c r="L156" s="25">
        <v>500</v>
      </c>
      <c r="M156" s="25">
        <v>3</v>
      </c>
      <c r="N156" s="25">
        <f t="shared" si="37"/>
        <v>503</v>
      </c>
      <c r="O156" s="25">
        <f t="shared" si="32"/>
        <v>972</v>
      </c>
      <c r="P156" s="25">
        <v>367</v>
      </c>
      <c r="Q156" s="27">
        <v>29.6</v>
      </c>
      <c r="R156" s="27">
        <v>61.3</v>
      </c>
      <c r="S156" s="27">
        <v>72.599999999999994</v>
      </c>
    </row>
    <row r="157" spans="1:19" s="28" customFormat="1" x14ac:dyDescent="0.2">
      <c r="A157" s="24">
        <v>42338</v>
      </c>
      <c r="B157" s="25">
        <v>1111</v>
      </c>
      <c r="C157" s="25">
        <v>87</v>
      </c>
      <c r="D157" s="25">
        <f t="shared" si="35"/>
        <v>1024</v>
      </c>
      <c r="E157" s="25">
        <v>1651</v>
      </c>
      <c r="F157" s="25">
        <v>101</v>
      </c>
      <c r="G157" s="25">
        <f>SUM(E157-F157)</f>
        <v>1550</v>
      </c>
      <c r="H157" s="25">
        <v>239</v>
      </c>
      <c r="I157" s="25">
        <v>190</v>
      </c>
      <c r="J157" s="26">
        <v>15.4</v>
      </c>
      <c r="K157" s="25">
        <v>526</v>
      </c>
      <c r="L157" s="25">
        <v>461</v>
      </c>
      <c r="M157" s="25">
        <v>6</v>
      </c>
      <c r="N157" s="25">
        <f t="shared" si="37"/>
        <v>467</v>
      </c>
      <c r="O157" s="25">
        <f t="shared" si="32"/>
        <v>993</v>
      </c>
      <c r="P157" s="25">
        <v>318</v>
      </c>
      <c r="Q157" s="27">
        <v>33.9</v>
      </c>
      <c r="R157" s="27">
        <v>64.099999999999994</v>
      </c>
      <c r="S157" s="27">
        <v>75.7</v>
      </c>
    </row>
    <row r="158" spans="1:19" s="33" customFormat="1" x14ac:dyDescent="0.2">
      <c r="A158" s="29">
        <v>42369</v>
      </c>
      <c r="B158" s="30">
        <v>1244</v>
      </c>
      <c r="C158" s="30">
        <v>66</v>
      </c>
      <c r="D158" s="30">
        <f t="shared" si="35"/>
        <v>1178</v>
      </c>
      <c r="E158" s="30">
        <v>1712</v>
      </c>
      <c r="F158" s="30">
        <v>101</v>
      </c>
      <c r="G158" s="30">
        <v>1611</v>
      </c>
      <c r="H158" s="30">
        <v>257</v>
      </c>
      <c r="I158" s="30">
        <v>203</v>
      </c>
      <c r="J158" s="31">
        <v>16</v>
      </c>
      <c r="K158" s="30">
        <v>462</v>
      </c>
      <c r="L158" s="30">
        <v>541</v>
      </c>
      <c r="M158" s="30">
        <v>0</v>
      </c>
      <c r="N158" s="30">
        <f t="shared" si="37"/>
        <v>541</v>
      </c>
      <c r="O158" s="30">
        <f t="shared" si="32"/>
        <v>1003</v>
      </c>
      <c r="P158" s="30">
        <v>351</v>
      </c>
      <c r="Q158" s="32">
        <v>28.7</v>
      </c>
      <c r="R158" s="32">
        <v>62.3</v>
      </c>
      <c r="S158" s="32">
        <v>74.099999999999994</v>
      </c>
    </row>
    <row r="159" spans="1:19" s="33" customFormat="1" x14ac:dyDescent="0.2">
      <c r="A159" s="29">
        <v>42400</v>
      </c>
      <c r="B159" s="30">
        <v>1071</v>
      </c>
      <c r="C159" s="30">
        <v>82</v>
      </c>
      <c r="D159" s="30">
        <v>989</v>
      </c>
      <c r="E159" s="30">
        <v>1760</v>
      </c>
      <c r="F159" s="30">
        <v>115</v>
      </c>
      <c r="G159" s="30">
        <v>1645</v>
      </c>
      <c r="H159" s="30">
        <v>257</v>
      </c>
      <c r="I159" s="30">
        <v>198</v>
      </c>
      <c r="J159" s="31">
        <v>15.6</v>
      </c>
      <c r="K159" s="30">
        <v>509</v>
      </c>
      <c r="L159" s="30">
        <v>467</v>
      </c>
      <c r="M159" s="30">
        <v>3</v>
      </c>
      <c r="N159" s="30">
        <v>469</v>
      </c>
      <c r="O159" s="30">
        <v>978</v>
      </c>
      <c r="P159" s="30">
        <v>409</v>
      </c>
      <c r="Q159" s="32">
        <v>30.9</v>
      </c>
      <c r="R159" s="32">
        <v>59</v>
      </c>
      <c r="S159" s="32">
        <v>70.5</v>
      </c>
    </row>
    <row r="160" spans="1:19" s="33" customFormat="1" x14ac:dyDescent="0.2">
      <c r="A160" s="29">
        <v>42429</v>
      </c>
      <c r="B160" s="30">
        <v>963</v>
      </c>
      <c r="C160" s="30">
        <v>77</v>
      </c>
      <c r="D160" s="30">
        <v>886</v>
      </c>
      <c r="E160" s="30">
        <v>1700</v>
      </c>
      <c r="F160" s="30">
        <v>122</v>
      </c>
      <c r="G160" s="30">
        <v>1578</v>
      </c>
      <c r="H160" s="30">
        <v>210</v>
      </c>
      <c r="I160" s="30">
        <v>160</v>
      </c>
      <c r="J160" s="31">
        <v>13.3</v>
      </c>
      <c r="K160" s="30">
        <v>483</v>
      </c>
      <c r="L160" s="30">
        <v>480</v>
      </c>
      <c r="M160" s="30">
        <v>8</v>
      </c>
      <c r="N160" s="30">
        <v>488</v>
      </c>
      <c r="O160" s="30">
        <v>963</v>
      </c>
      <c r="P160" s="30">
        <v>397</v>
      </c>
      <c r="Q160" s="32">
        <v>30.6</v>
      </c>
      <c r="R160" s="32">
        <v>62</v>
      </c>
      <c r="S160" s="32">
        <v>71</v>
      </c>
    </row>
    <row r="161" spans="1:19" s="33" customFormat="1" x14ac:dyDescent="0.2">
      <c r="A161" s="29">
        <v>42460</v>
      </c>
      <c r="B161" s="30">
        <v>332</v>
      </c>
      <c r="C161" s="30">
        <v>38</v>
      </c>
      <c r="D161" s="30">
        <v>294</v>
      </c>
      <c r="E161" s="30">
        <v>1309</v>
      </c>
      <c r="F161" s="30">
        <v>59</v>
      </c>
      <c r="G161" s="30">
        <v>1250</v>
      </c>
      <c r="H161" s="30">
        <v>154</v>
      </c>
      <c r="I161" s="30">
        <v>126</v>
      </c>
      <c r="J161" s="31">
        <v>12.3</v>
      </c>
      <c r="K161" s="30">
        <v>381</v>
      </c>
      <c r="L161" s="30">
        <v>428</v>
      </c>
      <c r="M161" s="30">
        <v>4</v>
      </c>
      <c r="N161" s="30">
        <v>432</v>
      </c>
      <c r="O161" s="30">
        <v>813</v>
      </c>
      <c r="P161" s="30">
        <v>283</v>
      </c>
      <c r="Q161" s="32">
        <v>30.5</v>
      </c>
      <c r="R161" s="32">
        <v>65</v>
      </c>
      <c r="S161" s="32">
        <v>74.2</v>
      </c>
    </row>
    <row r="162" spans="1:19" s="33" customFormat="1" x14ac:dyDescent="0.2">
      <c r="A162" s="29">
        <v>42490</v>
      </c>
      <c r="B162" s="30">
        <v>376</v>
      </c>
      <c r="C162" s="30">
        <v>36</v>
      </c>
      <c r="D162" s="30">
        <v>340</v>
      </c>
      <c r="E162" s="30">
        <v>1274</v>
      </c>
      <c r="F162" s="30">
        <v>71</v>
      </c>
      <c r="G162" s="30">
        <v>1203</v>
      </c>
      <c r="H162" s="30">
        <v>154</v>
      </c>
      <c r="I162" s="30">
        <v>100</v>
      </c>
      <c r="J162" s="31">
        <v>12.8</v>
      </c>
      <c r="K162" s="30">
        <v>367</v>
      </c>
      <c r="L162" s="30">
        <v>368</v>
      </c>
      <c r="M162" s="30">
        <v>3</v>
      </c>
      <c r="N162" s="30">
        <v>371</v>
      </c>
      <c r="O162" s="30">
        <v>738</v>
      </c>
      <c r="P162" s="30">
        <v>311</v>
      </c>
      <c r="Q162" s="32">
        <v>30.5</v>
      </c>
      <c r="R162" s="32">
        <v>61</v>
      </c>
      <c r="S162" s="32">
        <v>70.400000000000006</v>
      </c>
    </row>
    <row r="163" spans="1:19" s="33" customFormat="1" x14ac:dyDescent="0.2">
      <c r="A163" s="29">
        <v>42521</v>
      </c>
      <c r="B163" s="30">
        <v>606</v>
      </c>
      <c r="C163" s="30">
        <v>65</v>
      </c>
      <c r="D163" s="30">
        <f>SUM(B163-C163)</f>
        <v>541</v>
      </c>
      <c r="E163" s="30">
        <v>1225</v>
      </c>
      <c r="F163" s="30">
        <v>51</v>
      </c>
      <c r="G163" s="30">
        <v>1174</v>
      </c>
      <c r="H163" s="30">
        <v>109</v>
      </c>
      <c r="I163" s="30">
        <v>81</v>
      </c>
      <c r="J163" s="31">
        <v>9.3000000000000007</v>
      </c>
      <c r="K163" s="30">
        <v>424</v>
      </c>
      <c r="L163" s="30">
        <v>350</v>
      </c>
      <c r="M163" s="30">
        <v>0</v>
      </c>
      <c r="N163" s="30">
        <v>350</v>
      </c>
      <c r="O163" s="30">
        <v>774</v>
      </c>
      <c r="P163" s="30">
        <v>291</v>
      </c>
      <c r="Q163" s="32">
        <v>36.1</v>
      </c>
      <c r="R163" s="32">
        <v>65.900000000000006</v>
      </c>
      <c r="S163" s="32">
        <v>72.7</v>
      </c>
    </row>
    <row r="164" spans="1:19" s="33" customFormat="1" x14ac:dyDescent="0.2">
      <c r="A164" s="29">
        <v>42551</v>
      </c>
      <c r="B164" s="30">
        <v>1055</v>
      </c>
      <c r="C164" s="30">
        <v>74</v>
      </c>
      <c r="D164" s="30">
        <f>SUM(B164-C164)</f>
        <v>981</v>
      </c>
      <c r="E164" s="30">
        <v>1302</v>
      </c>
      <c r="F164" s="30">
        <v>72</v>
      </c>
      <c r="G164" s="30">
        <f>SUM(E164-F164)</f>
        <v>1230</v>
      </c>
      <c r="H164" s="30">
        <v>166</v>
      </c>
      <c r="I164" s="30">
        <v>143</v>
      </c>
      <c r="J164" s="31">
        <v>12.8</v>
      </c>
      <c r="K164" s="30">
        <v>432</v>
      </c>
      <c r="L164" s="30">
        <v>336</v>
      </c>
      <c r="M164" s="30">
        <v>7</v>
      </c>
      <c r="N164" s="30">
        <v>343</v>
      </c>
      <c r="O164" s="30">
        <f>SUM(K164,L164)</f>
        <v>768</v>
      </c>
      <c r="P164" s="30">
        <v>289</v>
      </c>
      <c r="Q164" s="32">
        <v>35.1</v>
      </c>
      <c r="R164" s="32">
        <v>63</v>
      </c>
      <c r="S164" s="32">
        <v>72.8</v>
      </c>
    </row>
    <row r="165" spans="1:19" s="33" customFormat="1" x14ac:dyDescent="0.2">
      <c r="A165" s="29">
        <v>42582</v>
      </c>
      <c r="B165" s="30">
        <v>975</v>
      </c>
      <c r="C165" s="30">
        <v>69</v>
      </c>
      <c r="D165" s="30">
        <f t="shared" ref="D165" si="43">SUM(B165-C165)</f>
        <v>906</v>
      </c>
      <c r="E165" s="30">
        <v>1247</v>
      </c>
      <c r="F165" s="30">
        <v>67</v>
      </c>
      <c r="G165" s="30">
        <f t="shared" ref="G165" si="44">SUM(E165-F165)</f>
        <v>1180</v>
      </c>
      <c r="H165" s="30">
        <v>212</v>
      </c>
      <c r="I165" s="30">
        <v>182</v>
      </c>
      <c r="J165" s="31">
        <f>(H165/G165)*100</f>
        <v>17.966101694915253</v>
      </c>
      <c r="K165" s="33">
        <v>422</v>
      </c>
      <c r="L165" s="33">
        <v>328</v>
      </c>
      <c r="M165" s="30">
        <v>8</v>
      </c>
      <c r="N165" s="30">
        <v>336</v>
      </c>
      <c r="O165" s="30">
        <f>SUM(K165,L165)</f>
        <v>750</v>
      </c>
      <c r="P165" s="30">
        <v>210</v>
      </c>
      <c r="Q165" s="31">
        <f>(K165/G165)*100</f>
        <v>35.762711864406782</v>
      </c>
      <c r="R165" s="31">
        <f>(K165+N165)/(G165)*100</f>
        <v>64.237288135593218</v>
      </c>
      <c r="S165" s="32">
        <f>(K165+N165)/(G165-H165)*100</f>
        <v>78.305785123966942</v>
      </c>
    </row>
    <row r="166" spans="1:19" x14ac:dyDescent="0.2">
      <c r="A166" s="18" t="s">
        <v>14</v>
      </c>
      <c r="B166" t="s">
        <v>15</v>
      </c>
      <c r="H166" s="3"/>
    </row>
    <row r="167" spans="1:19" x14ac:dyDescent="0.2">
      <c r="A167" s="18" t="s">
        <v>16</v>
      </c>
      <c r="B167" t="s">
        <v>18</v>
      </c>
      <c r="H167" s="3"/>
    </row>
    <row r="168" spans="1:19" x14ac:dyDescent="0.2">
      <c r="A168" s="18" t="s">
        <v>19</v>
      </c>
      <c r="B168" t="s">
        <v>22</v>
      </c>
      <c r="H168" s="3"/>
    </row>
    <row r="169" spans="1:19" x14ac:dyDescent="0.2">
      <c r="A169" s="18" t="s">
        <v>20</v>
      </c>
      <c r="B169" t="s">
        <v>30</v>
      </c>
      <c r="H169" s="3"/>
    </row>
    <row r="170" spans="1:19" x14ac:dyDescent="0.2">
      <c r="A170" s="18" t="s">
        <v>23</v>
      </c>
      <c r="B170" t="s">
        <v>29</v>
      </c>
      <c r="H170" s="3"/>
    </row>
    <row r="171" spans="1:19" x14ac:dyDescent="0.2">
      <c r="A171" s="18" t="s">
        <v>28</v>
      </c>
      <c r="B171" t="s">
        <v>24</v>
      </c>
      <c r="H171" s="3"/>
    </row>
    <row r="177" spans="2:2" x14ac:dyDescent="0.2">
      <c r="B177" s="2">
        <f>SUM(B173:B176)</f>
        <v>0</v>
      </c>
    </row>
  </sheetData>
  <phoneticPr fontId="5" type="noConversion"/>
  <pageMargins left="0.7" right="0.7" top="0.75" bottom="0.75" header="0.3" footer="0.3"/>
  <pageSetup paperSize="9" scale="45" orientation="landscape" horizontalDpi="75" verticalDpi="75" r:id="rId1"/>
  <ignoredErrors>
    <ignoredError sqref="N2:N8 N9:N10 N11:N63 N64:N117" calculatedColumn="1"/>
    <ignoredError sqref="A167:A171 A16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S32"/>
  <sheetViews>
    <sheetView workbookViewId="0">
      <pane ySplit="1" topLeftCell="A2" activePane="bottomLeft" state="frozen"/>
      <selection activeCell="E1" sqref="E1"/>
      <selection pane="bottomLeft" activeCell="A25" sqref="A25:XFD25"/>
    </sheetView>
  </sheetViews>
  <sheetFormatPr baseColWidth="10" defaultRowHeight="12.75" x14ac:dyDescent="0.2"/>
  <cols>
    <col min="17" max="18" width="13.625" customWidth="1"/>
    <col min="19" max="19" width="13.375" customWidth="1"/>
  </cols>
  <sheetData>
    <row r="1" spans="1:19" ht="76.5" x14ac:dyDescent="0.2">
      <c r="A1" s="12" t="s">
        <v>31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8</v>
      </c>
      <c r="H1" s="13" t="s">
        <v>0</v>
      </c>
      <c r="I1" s="13" t="s">
        <v>13</v>
      </c>
      <c r="J1" s="14" t="s">
        <v>32</v>
      </c>
      <c r="K1" s="13" t="s">
        <v>17</v>
      </c>
      <c r="L1" s="13" t="s">
        <v>21</v>
      </c>
      <c r="M1" s="13" t="s">
        <v>7</v>
      </c>
      <c r="N1" s="13" t="s">
        <v>12</v>
      </c>
      <c r="O1" s="13" t="s">
        <v>9</v>
      </c>
      <c r="P1" s="13" t="s">
        <v>10</v>
      </c>
      <c r="Q1" s="15" t="s">
        <v>25</v>
      </c>
      <c r="R1" s="15" t="s">
        <v>26</v>
      </c>
      <c r="S1" s="15" t="s">
        <v>27</v>
      </c>
    </row>
    <row r="2" spans="1:19" x14ac:dyDescent="0.2">
      <c r="A2" s="16">
        <v>1996</v>
      </c>
      <c r="B2" s="2">
        <v>19418</v>
      </c>
      <c r="C2" s="2">
        <v>1002</v>
      </c>
      <c r="D2" s="2">
        <f>B2-C2</f>
        <v>18416</v>
      </c>
      <c r="E2" s="2">
        <v>21923</v>
      </c>
      <c r="F2" s="2">
        <v>1829</v>
      </c>
      <c r="G2" s="2">
        <f>E2-F2</f>
        <v>20094</v>
      </c>
      <c r="H2" s="2">
        <v>2392</v>
      </c>
      <c r="I2" s="2">
        <v>0</v>
      </c>
      <c r="J2" s="19">
        <f>H2/G2*100</f>
        <v>11.904050960485717</v>
      </c>
      <c r="K2" s="2">
        <v>2232</v>
      </c>
      <c r="L2" s="2">
        <v>4913</v>
      </c>
      <c r="M2" s="2">
        <v>24</v>
      </c>
      <c r="N2" s="2">
        <f>L2+M2</f>
        <v>4937</v>
      </c>
      <c r="O2" s="2">
        <f>K2+N2</f>
        <v>7169</v>
      </c>
      <c r="P2" s="17">
        <v>10533</v>
      </c>
      <c r="Q2" s="19">
        <f>K2/G2*100</f>
        <v>11.107793371155569</v>
      </c>
      <c r="R2" s="19">
        <f>(N2+K2)/G2*100</f>
        <v>35.677316611923956</v>
      </c>
      <c r="S2" s="19">
        <f>(N2+K2)/(G2-H2)*100</f>
        <v>40.49824878544797</v>
      </c>
    </row>
    <row r="3" spans="1:19" x14ac:dyDescent="0.2">
      <c r="A3" s="16">
        <v>1997</v>
      </c>
      <c r="B3" s="2">
        <v>25507</v>
      </c>
      <c r="C3" s="2">
        <v>1711</v>
      </c>
      <c r="D3" s="2">
        <f t="shared" ref="D3:D25" si="0">B3-C3</f>
        <v>23796</v>
      </c>
      <c r="E3" s="2">
        <v>24959</v>
      </c>
      <c r="F3" s="2">
        <v>2438</v>
      </c>
      <c r="G3" s="2">
        <f t="shared" ref="G3:G25" si="1">E3-F3</f>
        <v>22521</v>
      </c>
      <c r="H3" s="2">
        <v>5122</v>
      </c>
      <c r="I3" s="2">
        <v>0</v>
      </c>
      <c r="J3" s="19">
        <f t="shared" ref="J3:J25" si="2">H3/G3*100</f>
        <v>22.743217441499045</v>
      </c>
      <c r="K3" s="2">
        <v>2572</v>
      </c>
      <c r="L3" s="2">
        <v>2833</v>
      </c>
      <c r="M3" s="2">
        <v>24</v>
      </c>
      <c r="N3" s="2">
        <f t="shared" ref="N3:N25" si="3">L3+M3</f>
        <v>2857</v>
      </c>
      <c r="O3" s="2">
        <f t="shared" ref="O3:O24" si="4">K3+N3</f>
        <v>5429</v>
      </c>
      <c r="P3" s="17">
        <v>11970</v>
      </c>
      <c r="Q3" s="19">
        <f t="shared" ref="Q3:Q25" si="5">K3/G3*100</f>
        <v>11.420452022556725</v>
      </c>
      <c r="R3" s="19">
        <f t="shared" ref="R3:R25" si="6">(N3+K3)/G3*100</f>
        <v>24.106389591936413</v>
      </c>
      <c r="S3" s="19">
        <f t="shared" ref="S3:S25" si="7">(N3+K3)/(G3-H3)*100</f>
        <v>31.202942697856201</v>
      </c>
    </row>
    <row r="4" spans="1:19" x14ac:dyDescent="0.2">
      <c r="A4" s="16">
        <v>1998</v>
      </c>
      <c r="B4" s="2">
        <v>42979</v>
      </c>
      <c r="C4" s="2">
        <v>3096</v>
      </c>
      <c r="D4" s="2">
        <f t="shared" si="0"/>
        <v>39883</v>
      </c>
      <c r="E4" s="2">
        <v>26286</v>
      </c>
      <c r="F4" s="2">
        <v>3242</v>
      </c>
      <c r="G4" s="2">
        <f t="shared" si="1"/>
        <v>23044</v>
      </c>
      <c r="H4" s="2">
        <v>7710</v>
      </c>
      <c r="I4" s="2">
        <v>0</v>
      </c>
      <c r="J4" s="19">
        <f t="shared" si="2"/>
        <v>33.457733032459643</v>
      </c>
      <c r="K4" s="2">
        <v>2039</v>
      </c>
      <c r="L4" s="2">
        <v>2186</v>
      </c>
      <c r="M4" s="2">
        <v>15</v>
      </c>
      <c r="N4" s="2">
        <f t="shared" si="3"/>
        <v>2201</v>
      </c>
      <c r="O4" s="2">
        <f t="shared" si="4"/>
        <v>4240</v>
      </c>
      <c r="P4" s="17">
        <v>11094</v>
      </c>
      <c r="Q4" s="19">
        <f t="shared" si="5"/>
        <v>8.8482902273910788</v>
      </c>
      <c r="R4" s="19">
        <f t="shared" si="6"/>
        <v>18.399583405658738</v>
      </c>
      <c r="S4" s="19">
        <f t="shared" si="7"/>
        <v>27.650971696882742</v>
      </c>
    </row>
    <row r="5" spans="1:19" x14ac:dyDescent="0.2">
      <c r="A5" s="16">
        <v>1999</v>
      </c>
      <c r="B5" s="2">
        <v>47513</v>
      </c>
      <c r="C5" s="2">
        <v>3003</v>
      </c>
      <c r="D5" s="2">
        <f t="shared" si="0"/>
        <v>44510</v>
      </c>
      <c r="E5" s="2">
        <v>48507</v>
      </c>
      <c r="F5" s="2">
        <v>11365</v>
      </c>
      <c r="G5" s="2">
        <f t="shared" si="1"/>
        <v>37142</v>
      </c>
      <c r="H5" s="2">
        <v>6702</v>
      </c>
      <c r="I5" s="2">
        <v>0</v>
      </c>
      <c r="J5" s="19">
        <f t="shared" si="2"/>
        <v>18.044262559905228</v>
      </c>
      <c r="K5" s="2">
        <v>2060</v>
      </c>
      <c r="L5" s="2">
        <v>9365</v>
      </c>
      <c r="M5" s="2">
        <v>41</v>
      </c>
      <c r="N5" s="2">
        <f t="shared" si="3"/>
        <v>9406</v>
      </c>
      <c r="O5" s="2">
        <f t="shared" si="4"/>
        <v>11466</v>
      </c>
      <c r="P5" s="17">
        <v>18974</v>
      </c>
      <c r="Q5" s="19">
        <f t="shared" si="5"/>
        <v>5.5462818372731677</v>
      </c>
      <c r="R5" s="19">
        <f t="shared" si="6"/>
        <v>30.87071240105541</v>
      </c>
      <c r="S5" s="19">
        <f t="shared" si="7"/>
        <v>37.667542706964518</v>
      </c>
    </row>
    <row r="6" spans="1:19" x14ac:dyDescent="0.2">
      <c r="A6" s="16">
        <v>2000</v>
      </c>
      <c r="B6" s="2">
        <v>19750</v>
      </c>
      <c r="C6" s="2">
        <v>2044</v>
      </c>
      <c r="D6" s="2">
        <f t="shared" si="0"/>
        <v>17706</v>
      </c>
      <c r="E6" s="2">
        <v>40036</v>
      </c>
      <c r="F6" s="2">
        <v>6203</v>
      </c>
      <c r="G6" s="2">
        <f t="shared" si="1"/>
        <v>33833</v>
      </c>
      <c r="H6" s="2">
        <v>5304</v>
      </c>
      <c r="I6" s="2">
        <v>0</v>
      </c>
      <c r="J6" s="19">
        <f t="shared" si="2"/>
        <v>15.677001743859545</v>
      </c>
      <c r="K6" s="2">
        <v>2080</v>
      </c>
      <c r="L6" s="2">
        <v>8678</v>
      </c>
      <c r="M6" s="2">
        <v>90</v>
      </c>
      <c r="N6" s="2">
        <f t="shared" si="3"/>
        <v>8768</v>
      </c>
      <c r="O6" s="2">
        <f t="shared" si="4"/>
        <v>10848</v>
      </c>
      <c r="P6" s="17">
        <v>17681</v>
      </c>
      <c r="Q6" s="19">
        <f t="shared" si="5"/>
        <v>6.1478438211213904</v>
      </c>
      <c r="R6" s="19">
        <f t="shared" si="6"/>
        <v>32.063370082463862</v>
      </c>
      <c r="S6" s="19">
        <f t="shared" si="7"/>
        <v>38.024466332503771</v>
      </c>
    </row>
    <row r="7" spans="1:19" x14ac:dyDescent="0.2">
      <c r="A7" s="16">
        <v>2001</v>
      </c>
      <c r="B7" s="2">
        <v>21854</v>
      </c>
      <c r="C7" s="2">
        <v>2450</v>
      </c>
      <c r="D7" s="2">
        <f t="shared" si="0"/>
        <v>19404</v>
      </c>
      <c r="E7" s="2">
        <v>23089</v>
      </c>
      <c r="F7" s="2">
        <v>2738</v>
      </c>
      <c r="G7" s="2">
        <f t="shared" si="1"/>
        <v>20351</v>
      </c>
      <c r="H7" s="2">
        <v>4379</v>
      </c>
      <c r="I7" s="2">
        <v>0</v>
      </c>
      <c r="J7" s="19">
        <f t="shared" si="2"/>
        <v>21.517370153800798</v>
      </c>
      <c r="K7" s="2">
        <v>2227</v>
      </c>
      <c r="L7" s="2">
        <v>4753</v>
      </c>
      <c r="M7" s="2">
        <v>173</v>
      </c>
      <c r="N7" s="2">
        <f t="shared" si="3"/>
        <v>4926</v>
      </c>
      <c r="O7" s="2">
        <f t="shared" si="4"/>
        <v>7153</v>
      </c>
      <c r="P7" s="17">
        <v>8819</v>
      </c>
      <c r="Q7" s="19">
        <f t="shared" si="5"/>
        <v>10.942951206328926</v>
      </c>
      <c r="R7" s="19">
        <f t="shared" si="6"/>
        <v>35.148149968060537</v>
      </c>
      <c r="S7" s="19">
        <f t="shared" si="7"/>
        <v>44.784623090408218</v>
      </c>
    </row>
    <row r="8" spans="1:19" x14ac:dyDescent="0.2">
      <c r="A8" s="16">
        <v>2002</v>
      </c>
      <c r="B8" s="2">
        <v>26987</v>
      </c>
      <c r="C8" s="2">
        <v>2557</v>
      </c>
      <c r="D8" s="2">
        <f t="shared" si="0"/>
        <v>24430</v>
      </c>
      <c r="E8" s="2">
        <v>26029</v>
      </c>
      <c r="F8" s="2">
        <v>3517</v>
      </c>
      <c r="G8" s="2">
        <f t="shared" si="1"/>
        <v>22512</v>
      </c>
      <c r="H8" s="2">
        <v>6432</v>
      </c>
      <c r="I8" s="2">
        <v>0</v>
      </c>
      <c r="J8" s="19">
        <f t="shared" si="2"/>
        <v>28.571428571428569</v>
      </c>
      <c r="K8" s="2">
        <v>1720</v>
      </c>
      <c r="L8" s="2">
        <v>2353</v>
      </c>
      <c r="M8" s="2">
        <v>54</v>
      </c>
      <c r="N8" s="2">
        <f t="shared" si="3"/>
        <v>2407</v>
      </c>
      <c r="O8" s="2">
        <f t="shared" si="4"/>
        <v>4127</v>
      </c>
      <c r="P8" s="17">
        <v>11953</v>
      </c>
      <c r="Q8" s="19">
        <f t="shared" si="5"/>
        <v>7.6403695806680885</v>
      </c>
      <c r="R8" s="19">
        <f t="shared" si="6"/>
        <v>18.332444918265814</v>
      </c>
      <c r="S8" s="19">
        <f t="shared" si="7"/>
        <v>25.665422885572138</v>
      </c>
    </row>
    <row r="9" spans="1:19" x14ac:dyDescent="0.2">
      <c r="A9" s="16">
        <v>2003</v>
      </c>
      <c r="B9" s="2">
        <v>21759</v>
      </c>
      <c r="C9" s="2">
        <v>2215</v>
      </c>
      <c r="D9" s="2">
        <f t="shared" si="0"/>
        <v>19544</v>
      </c>
      <c r="E9" s="2">
        <v>28020</v>
      </c>
      <c r="F9" s="2">
        <v>3015</v>
      </c>
      <c r="G9" s="2">
        <f t="shared" si="1"/>
        <v>25005</v>
      </c>
      <c r="H9" s="2">
        <v>7860</v>
      </c>
      <c r="I9" s="2">
        <v>0</v>
      </c>
      <c r="J9" s="19">
        <f t="shared" si="2"/>
        <v>31.433713257348529</v>
      </c>
      <c r="K9" s="2">
        <v>1610</v>
      </c>
      <c r="L9" s="2">
        <v>1928</v>
      </c>
      <c r="M9" s="2">
        <v>42</v>
      </c>
      <c r="N9" s="2">
        <f t="shared" si="3"/>
        <v>1970</v>
      </c>
      <c r="O9" s="2">
        <f t="shared" si="4"/>
        <v>3580</v>
      </c>
      <c r="P9" s="17">
        <v>13565</v>
      </c>
      <c r="Q9" s="19">
        <f t="shared" si="5"/>
        <v>6.4387122575484899</v>
      </c>
      <c r="R9" s="19">
        <f t="shared" si="6"/>
        <v>14.317136572685463</v>
      </c>
      <c r="S9" s="19">
        <f t="shared" si="7"/>
        <v>20.880723242927967</v>
      </c>
    </row>
    <row r="10" spans="1:19" x14ac:dyDescent="0.2">
      <c r="A10" s="16">
        <v>2004</v>
      </c>
      <c r="B10" s="2">
        <v>15061</v>
      </c>
      <c r="C10" s="2">
        <v>1588</v>
      </c>
      <c r="D10" s="2">
        <f t="shared" si="0"/>
        <v>13473</v>
      </c>
      <c r="E10" s="2">
        <v>20037</v>
      </c>
      <c r="F10" s="2">
        <v>2316</v>
      </c>
      <c r="G10" s="2">
        <f t="shared" si="1"/>
        <v>17721</v>
      </c>
      <c r="H10" s="2">
        <v>5242</v>
      </c>
      <c r="I10" s="2">
        <v>0</v>
      </c>
      <c r="J10" s="19">
        <f t="shared" si="2"/>
        <v>29.580723435472038</v>
      </c>
      <c r="K10" s="2">
        <v>1529</v>
      </c>
      <c r="L10" s="2">
        <v>1734</v>
      </c>
      <c r="M10" s="2">
        <v>52</v>
      </c>
      <c r="N10" s="2">
        <f t="shared" si="3"/>
        <v>1786</v>
      </c>
      <c r="O10" s="2">
        <f t="shared" si="4"/>
        <v>3315</v>
      </c>
      <c r="P10" s="17">
        <v>9164</v>
      </c>
      <c r="Q10" s="19">
        <f t="shared" si="5"/>
        <v>8.6281812538795783</v>
      </c>
      <c r="R10" s="19">
        <f t="shared" si="6"/>
        <v>18.706619265278484</v>
      </c>
      <c r="S10" s="19">
        <f t="shared" si="7"/>
        <v>26.564628576007692</v>
      </c>
    </row>
    <row r="11" spans="1:19" x14ac:dyDescent="0.2">
      <c r="A11" s="16">
        <v>2005</v>
      </c>
      <c r="B11" s="2">
        <v>10795</v>
      </c>
      <c r="C11" s="2">
        <v>1443</v>
      </c>
      <c r="D11" s="2">
        <f t="shared" si="0"/>
        <v>9352</v>
      </c>
      <c r="E11" s="2">
        <v>13478</v>
      </c>
      <c r="F11" s="2">
        <v>1690</v>
      </c>
      <c r="G11" s="2">
        <f t="shared" si="1"/>
        <v>11788</v>
      </c>
      <c r="H11" s="2">
        <v>2556</v>
      </c>
      <c r="I11" s="2">
        <v>0</v>
      </c>
      <c r="J11" s="19">
        <f t="shared" si="2"/>
        <v>21.683067526297929</v>
      </c>
      <c r="K11" s="2">
        <v>1467</v>
      </c>
      <c r="L11" s="2">
        <v>2711</v>
      </c>
      <c r="M11" s="2">
        <v>30</v>
      </c>
      <c r="N11" s="2">
        <f t="shared" si="3"/>
        <v>2741</v>
      </c>
      <c r="O11" s="2">
        <f t="shared" si="4"/>
        <v>4208</v>
      </c>
      <c r="P11" s="17">
        <v>5024</v>
      </c>
      <c r="Q11" s="19">
        <f t="shared" si="5"/>
        <v>12.444859178825924</v>
      </c>
      <c r="R11" s="19">
        <f t="shared" si="6"/>
        <v>35.697319307770613</v>
      </c>
      <c r="S11" s="19">
        <f t="shared" si="7"/>
        <v>45.580589254766032</v>
      </c>
    </row>
    <row r="12" spans="1:19" x14ac:dyDescent="0.2">
      <c r="A12" s="16">
        <v>2006</v>
      </c>
      <c r="B12" s="2">
        <v>11173</v>
      </c>
      <c r="C12" s="2">
        <v>1859</v>
      </c>
      <c r="D12" s="2">
        <f t="shared" si="0"/>
        <v>9314</v>
      </c>
      <c r="E12" s="2">
        <v>11881</v>
      </c>
      <c r="F12" s="2">
        <v>1632</v>
      </c>
      <c r="G12" s="2">
        <f t="shared" si="1"/>
        <v>10249</v>
      </c>
      <c r="H12" s="2">
        <v>1837</v>
      </c>
      <c r="I12" s="2">
        <v>0</v>
      </c>
      <c r="J12" s="19">
        <f t="shared" si="2"/>
        <v>17.923699873158359</v>
      </c>
      <c r="K12" s="2">
        <v>1827</v>
      </c>
      <c r="L12" s="2">
        <v>2444</v>
      </c>
      <c r="M12" s="2">
        <v>49</v>
      </c>
      <c r="N12" s="2">
        <f t="shared" si="3"/>
        <v>2493</v>
      </c>
      <c r="O12" s="2">
        <f t="shared" si="4"/>
        <v>4320</v>
      </c>
      <c r="P12" s="17">
        <v>4092</v>
      </c>
      <c r="Q12" s="19">
        <f t="shared" si="5"/>
        <v>17.826129378475951</v>
      </c>
      <c r="R12" s="19">
        <f t="shared" si="6"/>
        <v>42.15045370280027</v>
      </c>
      <c r="S12" s="19">
        <f t="shared" si="7"/>
        <v>51.355206847360911</v>
      </c>
    </row>
    <row r="13" spans="1:19" x14ac:dyDescent="0.2">
      <c r="A13" s="16">
        <v>2007</v>
      </c>
      <c r="B13" s="2">
        <v>10844</v>
      </c>
      <c r="C13" s="2">
        <v>1321</v>
      </c>
      <c r="D13" s="2">
        <f t="shared" si="0"/>
        <v>9523</v>
      </c>
      <c r="E13" s="2">
        <v>10070</v>
      </c>
      <c r="F13" s="2">
        <v>2062</v>
      </c>
      <c r="G13" s="2">
        <f t="shared" si="1"/>
        <v>8008</v>
      </c>
      <c r="H13" s="2">
        <v>2497</v>
      </c>
      <c r="I13" s="2">
        <v>0</v>
      </c>
      <c r="J13" s="19">
        <f t="shared" si="2"/>
        <v>31.181318681318682</v>
      </c>
      <c r="K13" s="2">
        <v>1537</v>
      </c>
      <c r="L13" s="2">
        <v>1645</v>
      </c>
      <c r="M13" s="2">
        <v>174</v>
      </c>
      <c r="N13" s="2">
        <f t="shared" si="3"/>
        <v>1819</v>
      </c>
      <c r="O13" s="2">
        <f t="shared" si="4"/>
        <v>3356</v>
      </c>
      <c r="P13" s="2">
        <v>2155</v>
      </c>
      <c r="Q13" s="19">
        <f t="shared" si="5"/>
        <v>19.193306693306695</v>
      </c>
      <c r="R13" s="19">
        <f t="shared" si="6"/>
        <v>41.908091908091912</v>
      </c>
      <c r="S13" s="19">
        <f t="shared" si="7"/>
        <v>60.896389040101617</v>
      </c>
    </row>
    <row r="14" spans="1:19" x14ac:dyDescent="0.2">
      <c r="A14" s="16">
        <v>2008</v>
      </c>
      <c r="B14" s="2">
        <v>16606</v>
      </c>
      <c r="C14" s="2">
        <v>1428</v>
      </c>
      <c r="D14" s="2">
        <f t="shared" si="0"/>
        <v>15178</v>
      </c>
      <c r="E14" s="2">
        <v>11062</v>
      </c>
      <c r="F14" s="2">
        <v>1245</v>
      </c>
      <c r="G14" s="2">
        <f t="shared" si="1"/>
        <v>9817</v>
      </c>
      <c r="H14" s="2">
        <v>2962</v>
      </c>
      <c r="I14" s="2">
        <v>0</v>
      </c>
      <c r="J14" s="19">
        <f t="shared" si="2"/>
        <v>30.172150351431192</v>
      </c>
      <c r="K14" s="2">
        <v>2261</v>
      </c>
      <c r="L14" s="2">
        <v>1978</v>
      </c>
      <c r="M14" s="2">
        <v>111</v>
      </c>
      <c r="N14" s="2">
        <f t="shared" si="3"/>
        <v>2089</v>
      </c>
      <c r="O14" s="2">
        <f t="shared" si="4"/>
        <v>4350</v>
      </c>
      <c r="P14" s="2">
        <v>2505</v>
      </c>
      <c r="Q14" s="19">
        <f t="shared" si="5"/>
        <v>23.031476011001324</v>
      </c>
      <c r="R14" s="19">
        <f t="shared" si="6"/>
        <v>44.310889273708867</v>
      </c>
      <c r="S14" s="19">
        <f t="shared" si="7"/>
        <v>63.457330415754917</v>
      </c>
    </row>
    <row r="15" spans="1:19" x14ac:dyDescent="0.2">
      <c r="A15" s="16">
        <v>2009</v>
      </c>
      <c r="B15" s="2">
        <v>16005</v>
      </c>
      <c r="C15" s="2">
        <v>1513</v>
      </c>
      <c r="D15" s="2">
        <f t="shared" si="0"/>
        <v>14492</v>
      </c>
      <c r="E15" s="2">
        <v>17326</v>
      </c>
      <c r="F15" s="2">
        <v>1276</v>
      </c>
      <c r="G15" s="2">
        <f t="shared" si="1"/>
        <v>16050</v>
      </c>
      <c r="H15" s="2">
        <v>7579</v>
      </c>
      <c r="I15" s="2">
        <v>3486</v>
      </c>
      <c r="J15" s="19">
        <f t="shared" si="2"/>
        <v>47.221183800623052</v>
      </c>
      <c r="K15" s="2">
        <v>2622</v>
      </c>
      <c r="L15" s="2">
        <v>2862</v>
      </c>
      <c r="M15" s="2">
        <v>94</v>
      </c>
      <c r="N15" s="2">
        <f t="shared" si="3"/>
        <v>2956</v>
      </c>
      <c r="O15" s="2">
        <f t="shared" si="4"/>
        <v>5578</v>
      </c>
      <c r="P15" s="2">
        <v>2893</v>
      </c>
      <c r="Q15" s="19">
        <f t="shared" si="5"/>
        <v>16.33644859813084</v>
      </c>
      <c r="R15" s="19">
        <f t="shared" si="6"/>
        <v>34.753894080996886</v>
      </c>
      <c r="S15" s="19">
        <f t="shared" si="7"/>
        <v>65.848187935308701</v>
      </c>
    </row>
    <row r="16" spans="1:19" x14ac:dyDescent="0.2">
      <c r="A16" s="16">
        <v>2010</v>
      </c>
      <c r="B16" s="2">
        <v>15567</v>
      </c>
      <c r="C16" s="2">
        <v>2046</v>
      </c>
      <c r="D16" s="2">
        <f t="shared" si="0"/>
        <v>13521</v>
      </c>
      <c r="E16" s="2">
        <v>20690</v>
      </c>
      <c r="F16" s="2">
        <v>1234</v>
      </c>
      <c r="G16" s="2">
        <f t="shared" si="1"/>
        <v>19456</v>
      </c>
      <c r="H16" s="2">
        <v>9363</v>
      </c>
      <c r="I16" s="2">
        <v>6393</v>
      </c>
      <c r="J16" s="19">
        <f t="shared" si="2"/>
        <v>48.123972039473685</v>
      </c>
      <c r="K16" s="2">
        <v>3449</v>
      </c>
      <c r="L16" s="2">
        <v>3785</v>
      </c>
      <c r="M16" s="2">
        <v>103</v>
      </c>
      <c r="N16" s="2">
        <f t="shared" si="3"/>
        <v>3888</v>
      </c>
      <c r="O16" s="2">
        <f t="shared" si="4"/>
        <v>7337</v>
      </c>
      <c r="P16" s="2">
        <v>2756</v>
      </c>
      <c r="Q16" s="19">
        <f t="shared" si="5"/>
        <v>17.727179276315788</v>
      </c>
      <c r="R16" s="19">
        <f t="shared" si="6"/>
        <v>37.710731907894733</v>
      </c>
      <c r="S16" s="19">
        <f t="shared" si="7"/>
        <v>72.69394629941543</v>
      </c>
    </row>
    <row r="17" spans="1:19" x14ac:dyDescent="0.2">
      <c r="A17" s="16">
        <v>2011</v>
      </c>
      <c r="B17" s="2">
        <v>22551</v>
      </c>
      <c r="C17" s="2">
        <v>3112</v>
      </c>
      <c r="D17" s="2">
        <f t="shared" si="0"/>
        <v>19439</v>
      </c>
      <c r="E17" s="2">
        <v>19467</v>
      </c>
      <c r="F17" s="2">
        <v>1787</v>
      </c>
      <c r="G17" s="2">
        <f t="shared" si="1"/>
        <v>17680</v>
      </c>
      <c r="H17" s="2">
        <v>9608</v>
      </c>
      <c r="I17" s="2">
        <v>7099</v>
      </c>
      <c r="J17" s="19">
        <f t="shared" si="2"/>
        <v>54.343891402714931</v>
      </c>
      <c r="K17" s="2">
        <v>3711</v>
      </c>
      <c r="L17" s="2">
        <v>2002</v>
      </c>
      <c r="M17" s="2">
        <v>80</v>
      </c>
      <c r="N17" s="2">
        <f t="shared" si="3"/>
        <v>2082</v>
      </c>
      <c r="O17" s="2">
        <f t="shared" si="4"/>
        <v>5793</v>
      </c>
      <c r="P17" s="2">
        <v>2279</v>
      </c>
      <c r="Q17" s="19">
        <f t="shared" si="5"/>
        <v>20.989819004524886</v>
      </c>
      <c r="R17" s="19">
        <f t="shared" si="6"/>
        <v>32.765837104072396</v>
      </c>
      <c r="S17" s="19">
        <f t="shared" si="7"/>
        <v>71.766600594648168</v>
      </c>
    </row>
    <row r="18" spans="1:19" x14ac:dyDescent="0.2">
      <c r="A18" s="16">
        <v>2012</v>
      </c>
      <c r="B18" s="2">
        <v>28631</v>
      </c>
      <c r="C18" s="2">
        <v>2683</v>
      </c>
      <c r="D18" s="2">
        <f t="shared" si="0"/>
        <v>25948</v>
      </c>
      <c r="E18" s="2">
        <v>24941</v>
      </c>
      <c r="F18" s="2">
        <v>3498</v>
      </c>
      <c r="G18" s="2">
        <f t="shared" si="1"/>
        <v>21443</v>
      </c>
      <c r="H18" s="2">
        <v>13949</v>
      </c>
      <c r="I18" s="2">
        <v>9130</v>
      </c>
      <c r="J18" s="19">
        <f t="shared" si="2"/>
        <v>65.051531968474563</v>
      </c>
      <c r="K18" s="2">
        <v>2507</v>
      </c>
      <c r="L18" s="2">
        <v>1526</v>
      </c>
      <c r="M18" s="2">
        <v>59</v>
      </c>
      <c r="N18" s="2">
        <f t="shared" si="3"/>
        <v>1585</v>
      </c>
      <c r="O18" s="2">
        <f t="shared" si="4"/>
        <v>4092</v>
      </c>
      <c r="P18" s="2">
        <v>3402</v>
      </c>
      <c r="Q18" s="19">
        <f t="shared" si="5"/>
        <v>11.691461082870868</v>
      </c>
      <c r="R18" s="19">
        <f t="shared" si="6"/>
        <v>19.083150678543113</v>
      </c>
      <c r="S18" s="19">
        <f t="shared" si="7"/>
        <v>54.60368294635709</v>
      </c>
    </row>
    <row r="19" spans="1:19" x14ac:dyDescent="0.2">
      <c r="A19" s="16">
        <v>2013</v>
      </c>
      <c r="B19" s="2">
        <v>21465</v>
      </c>
      <c r="C19" s="2">
        <v>2025</v>
      </c>
      <c r="D19" s="2">
        <f t="shared" si="0"/>
        <v>19440</v>
      </c>
      <c r="E19" s="2">
        <v>23966</v>
      </c>
      <c r="F19" s="2">
        <v>3428</v>
      </c>
      <c r="G19" s="2">
        <f t="shared" si="1"/>
        <v>20538</v>
      </c>
      <c r="H19" s="2">
        <v>10952</v>
      </c>
      <c r="I19" s="2">
        <v>7078</v>
      </c>
      <c r="J19" s="19">
        <f t="shared" si="2"/>
        <v>53.325542896095044</v>
      </c>
      <c r="K19" s="2">
        <v>3167</v>
      </c>
      <c r="L19" s="2">
        <v>2904</v>
      </c>
      <c r="M19" s="2">
        <v>43</v>
      </c>
      <c r="N19" s="2">
        <f t="shared" si="3"/>
        <v>2947</v>
      </c>
      <c r="O19" s="2">
        <f t="shared" si="4"/>
        <v>6114</v>
      </c>
      <c r="P19" s="2">
        <v>3488</v>
      </c>
      <c r="Q19" s="19">
        <f t="shared" si="5"/>
        <v>15.420196708540267</v>
      </c>
      <c r="R19" s="19">
        <f t="shared" si="6"/>
        <v>29.769208296815659</v>
      </c>
      <c r="S19" s="19">
        <f t="shared" si="7"/>
        <v>63.780513248487381</v>
      </c>
    </row>
    <row r="20" spans="1:19" x14ac:dyDescent="0.2">
      <c r="A20" s="16">
        <v>2014</v>
      </c>
      <c r="B20" s="2">
        <v>23765</v>
      </c>
      <c r="C20" s="2">
        <v>700</v>
      </c>
      <c r="D20" s="2">
        <f t="shared" si="0"/>
        <v>23065</v>
      </c>
      <c r="E20" s="2">
        <v>26715</v>
      </c>
      <c r="F20" s="2">
        <v>2504</v>
      </c>
      <c r="G20" s="2">
        <f t="shared" si="1"/>
        <v>24211</v>
      </c>
      <c r="H20" s="2">
        <v>5777</v>
      </c>
      <c r="I20" s="2">
        <v>4844</v>
      </c>
      <c r="J20" s="19">
        <f t="shared" si="2"/>
        <v>23.86105489240428</v>
      </c>
      <c r="K20" s="2">
        <v>6199</v>
      </c>
      <c r="L20" s="2">
        <v>7828</v>
      </c>
      <c r="M20" s="2">
        <v>96</v>
      </c>
      <c r="N20" s="2">
        <f t="shared" si="3"/>
        <v>7924</v>
      </c>
      <c r="O20" s="2">
        <f t="shared" si="4"/>
        <v>14123</v>
      </c>
      <c r="P20" s="2">
        <v>4311</v>
      </c>
      <c r="Q20" s="19">
        <f t="shared" si="5"/>
        <v>25.604064268307791</v>
      </c>
      <c r="R20" s="19">
        <f t="shared" si="6"/>
        <v>58.332989137169058</v>
      </c>
      <c r="S20" s="19">
        <f t="shared" si="7"/>
        <v>76.613865682977107</v>
      </c>
    </row>
    <row r="21" spans="1:19" x14ac:dyDescent="0.2">
      <c r="A21" s="16">
        <v>2015</v>
      </c>
      <c r="B21" s="20">
        <v>39523</v>
      </c>
      <c r="C21" s="20">
        <v>612</v>
      </c>
      <c r="D21" s="2">
        <f t="shared" si="0"/>
        <v>38911</v>
      </c>
      <c r="E21" s="20">
        <v>28118</v>
      </c>
      <c r="F21" s="20">
        <v>2718</v>
      </c>
      <c r="G21" s="2">
        <f t="shared" si="1"/>
        <v>25400</v>
      </c>
      <c r="H21" s="20">
        <v>8362</v>
      </c>
      <c r="I21" s="20">
        <v>7915</v>
      </c>
      <c r="J21" s="19">
        <f t="shared" si="2"/>
        <v>32.921259842519682</v>
      </c>
      <c r="K21" s="20">
        <v>6377</v>
      </c>
      <c r="L21" s="20">
        <v>7050</v>
      </c>
      <c r="M21" s="20">
        <v>59</v>
      </c>
      <c r="N21" s="2">
        <f t="shared" si="3"/>
        <v>7109</v>
      </c>
      <c r="O21" s="2">
        <f t="shared" si="4"/>
        <v>13486</v>
      </c>
      <c r="P21" s="20">
        <v>3552</v>
      </c>
      <c r="Q21" s="19">
        <f t="shared" si="5"/>
        <v>25.106299212598426</v>
      </c>
      <c r="R21" s="19">
        <f t="shared" si="6"/>
        <v>53.094488188976371</v>
      </c>
      <c r="S21" s="19">
        <f t="shared" si="7"/>
        <v>79.152482685761242</v>
      </c>
    </row>
    <row r="22" spans="1:19" x14ac:dyDescent="0.2">
      <c r="A22" s="16">
        <v>2016</v>
      </c>
      <c r="B22" s="2">
        <v>27207</v>
      </c>
      <c r="C22" s="2">
        <v>570</v>
      </c>
      <c r="D22" s="2">
        <f t="shared" si="0"/>
        <v>26637</v>
      </c>
      <c r="E22" s="2">
        <v>31299</v>
      </c>
      <c r="F22" s="2">
        <v>4938</v>
      </c>
      <c r="G22" s="2">
        <f t="shared" si="1"/>
        <v>26361</v>
      </c>
      <c r="H22" s="2">
        <v>9345</v>
      </c>
      <c r="I22" s="2">
        <v>8787</v>
      </c>
      <c r="J22" s="19">
        <f t="shared" si="2"/>
        <v>35.450096733811314</v>
      </c>
      <c r="K22" s="2">
        <v>5985</v>
      </c>
      <c r="L22" s="2">
        <v>6802</v>
      </c>
      <c r="M22" s="2">
        <v>48</v>
      </c>
      <c r="N22" s="2">
        <f t="shared" si="3"/>
        <v>6850</v>
      </c>
      <c r="O22" s="2">
        <f t="shared" si="4"/>
        <v>12835</v>
      </c>
      <c r="P22" s="2">
        <v>4181</v>
      </c>
      <c r="Q22" s="19">
        <f t="shared" si="5"/>
        <v>22.703994537384773</v>
      </c>
      <c r="R22" s="19">
        <f t="shared" si="6"/>
        <v>48.689351693790066</v>
      </c>
      <c r="S22" s="19">
        <f t="shared" si="7"/>
        <v>75.429007992477665</v>
      </c>
    </row>
    <row r="23" spans="1:19" x14ac:dyDescent="0.2">
      <c r="A23" s="16">
        <v>2017</v>
      </c>
      <c r="B23" s="2">
        <v>18088</v>
      </c>
      <c r="C23" s="2">
        <v>564</v>
      </c>
      <c r="D23" s="2">
        <f t="shared" si="0"/>
        <v>17524</v>
      </c>
      <c r="E23" s="2">
        <v>27221</v>
      </c>
      <c r="F23" s="2">
        <v>2540</v>
      </c>
      <c r="G23" s="2">
        <f t="shared" si="1"/>
        <v>24681</v>
      </c>
      <c r="H23" s="2">
        <v>6170</v>
      </c>
      <c r="I23" s="2">
        <v>5843</v>
      </c>
      <c r="J23" s="19">
        <f t="shared" si="2"/>
        <v>24.998987075077995</v>
      </c>
      <c r="K23" s="2">
        <v>6360</v>
      </c>
      <c r="L23" s="2">
        <v>7798</v>
      </c>
      <c r="M23" s="2">
        <v>41</v>
      </c>
      <c r="N23" s="2">
        <f t="shared" si="3"/>
        <v>7839</v>
      </c>
      <c r="O23" s="2">
        <f t="shared" si="4"/>
        <v>14199</v>
      </c>
      <c r="P23" s="2">
        <v>4312</v>
      </c>
      <c r="Q23" s="19">
        <f t="shared" si="5"/>
        <v>25.76881001580163</v>
      </c>
      <c r="R23" s="19">
        <f t="shared" si="6"/>
        <v>57.530083870183546</v>
      </c>
      <c r="S23" s="19">
        <f t="shared" si="7"/>
        <v>76.705742531467777</v>
      </c>
    </row>
    <row r="24" spans="1:19" x14ac:dyDescent="0.2">
      <c r="A24" s="16">
        <v>2018</v>
      </c>
      <c r="B24" s="2">
        <v>15255</v>
      </c>
      <c r="C24" s="2">
        <v>656</v>
      </c>
      <c r="D24" s="2">
        <f t="shared" si="0"/>
        <v>14599</v>
      </c>
      <c r="E24" s="2">
        <v>26103</v>
      </c>
      <c r="F24" s="2">
        <v>1539</v>
      </c>
      <c r="G24" s="2">
        <f t="shared" si="1"/>
        <v>24564</v>
      </c>
      <c r="H24" s="2">
        <v>4745</v>
      </c>
      <c r="I24" s="2">
        <v>4185</v>
      </c>
      <c r="J24" s="19">
        <f t="shared" si="2"/>
        <v>19.316886500569939</v>
      </c>
      <c r="K24" s="2">
        <v>6358</v>
      </c>
      <c r="L24" s="2">
        <v>8512</v>
      </c>
      <c r="M24" s="2">
        <v>56</v>
      </c>
      <c r="N24" s="2">
        <f t="shared" si="3"/>
        <v>8568</v>
      </c>
      <c r="O24" s="2">
        <f t="shared" si="4"/>
        <v>14926</v>
      </c>
      <c r="P24" s="2">
        <v>4949</v>
      </c>
      <c r="Q24" s="19">
        <f t="shared" si="5"/>
        <v>25.883406611301091</v>
      </c>
      <c r="R24" s="19">
        <f t="shared" si="6"/>
        <v>60.763719263963523</v>
      </c>
      <c r="S24" s="19">
        <f t="shared" si="7"/>
        <v>75.311569705837826</v>
      </c>
    </row>
    <row r="25" spans="1:19" x14ac:dyDescent="0.2">
      <c r="A25" s="16">
        <v>2019</v>
      </c>
      <c r="B25" s="2">
        <v>14269</v>
      </c>
      <c r="C25" s="2">
        <v>757</v>
      </c>
      <c r="D25" s="2">
        <f t="shared" si="0"/>
        <v>13512</v>
      </c>
      <c r="E25" s="2">
        <v>19140</v>
      </c>
      <c r="F25" s="2">
        <v>1325</v>
      </c>
      <c r="G25" s="2">
        <f t="shared" si="1"/>
        <v>17815</v>
      </c>
      <c r="H25" s="2">
        <v>3294</v>
      </c>
      <c r="I25" s="2">
        <v>2720</v>
      </c>
      <c r="J25" s="19">
        <f t="shared" si="2"/>
        <v>18.490036486107215</v>
      </c>
      <c r="K25" s="2">
        <v>5551</v>
      </c>
      <c r="L25" s="2">
        <v>4953</v>
      </c>
      <c r="M25" s="2">
        <v>68</v>
      </c>
      <c r="N25" s="2">
        <f t="shared" si="3"/>
        <v>5021</v>
      </c>
      <c r="O25" s="2">
        <v>10572</v>
      </c>
      <c r="P25" s="2">
        <v>3949</v>
      </c>
      <c r="Q25" s="19">
        <f t="shared" si="5"/>
        <v>31.159135559921413</v>
      </c>
      <c r="R25" s="19">
        <f t="shared" si="6"/>
        <v>59.343250070165588</v>
      </c>
      <c r="S25" s="19">
        <f t="shared" si="7"/>
        <v>72.804903243578266</v>
      </c>
    </row>
    <row r="27" spans="1:19" x14ac:dyDescent="0.2">
      <c r="A27" s="18" t="s">
        <v>14</v>
      </c>
      <c r="B27" t="s">
        <v>15</v>
      </c>
    </row>
    <row r="28" spans="1:19" x14ac:dyDescent="0.2">
      <c r="A28" s="18" t="s">
        <v>16</v>
      </c>
      <c r="B28" t="s">
        <v>18</v>
      </c>
    </row>
    <row r="29" spans="1:19" x14ac:dyDescent="0.2">
      <c r="A29" s="18" t="s">
        <v>19</v>
      </c>
      <c r="B29" t="s">
        <v>22</v>
      </c>
    </row>
    <row r="30" spans="1:19" x14ac:dyDescent="0.2">
      <c r="A30" s="18" t="s">
        <v>20</v>
      </c>
      <c r="B30" t="s">
        <v>30</v>
      </c>
    </row>
    <row r="31" spans="1:19" x14ac:dyDescent="0.2">
      <c r="A31" s="18" t="s">
        <v>23</v>
      </c>
      <c r="B31" t="s">
        <v>29</v>
      </c>
    </row>
    <row r="32" spans="1:19" x14ac:dyDescent="0.2">
      <c r="A32" s="18" t="s">
        <v>28</v>
      </c>
      <c r="B32" t="s">
        <v>24</v>
      </c>
    </row>
  </sheetData>
  <pageMargins left="0.75" right="0.75" top="1" bottom="1" header="0.5" footer="0.5"/>
  <pageSetup paperSize="9" orientation="portrait" horizontalDpi="4294967292" verticalDpi="4294967292"/>
  <ignoredErrors>
    <ignoredError sqref="A27:A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Mois 2007-</vt:lpstr>
      <vt:lpstr>Années 1996-</vt:lpstr>
      <vt:lpstr>'Mois 2007-'!Zone_d_impression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Vivre Ensemble</dc:creator>
  <cp:keywords/>
  <dc:description>Avec la collaboration de François Sermier</dc:description>
  <cp:lastModifiedBy>Giada</cp:lastModifiedBy>
  <cp:lastPrinted>2020-02-11T15:44:03Z</cp:lastPrinted>
  <dcterms:created xsi:type="dcterms:W3CDTF">2014-12-23T15:59:51Z</dcterms:created>
  <dcterms:modified xsi:type="dcterms:W3CDTF">2020-09-20T22:30:57Z</dcterms:modified>
  <cp:category/>
</cp:coreProperties>
</file>